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Nancy\Dropbox\FONDEQUIP_M2020-M2021\Postulacion_Fondequip_M2024\POSTULACION\"/>
    </mc:Choice>
  </mc:AlternateContent>
  <xr:revisionPtr revIDLastSave="0" documentId="13_ncr:1_{E944C005-ACAA-4E3A-B50B-A6283CED4456}" xr6:coauthVersionLast="47" xr6:coauthVersionMax="47" xr10:uidLastSave="{00000000-0000-0000-0000-000000000000}"/>
  <bookViews>
    <workbookView xWindow="-108" yWindow="-108" windowWidth="23256" windowHeight="12576" tabRatio="784" firstSheet="1" activeTab="4" xr2:uid="{00000000-000D-0000-FFFF-FFFF00000000}"/>
  </bookViews>
  <sheets>
    <sheet name=" INSTRUCTIONS" sheetId="4" r:id="rId1"/>
    <sheet name=" QUOTES" sheetId="5" r:id="rId2"/>
    <sheet name=" I. EQUIPMENT" sheetId="2" r:id="rId3"/>
    <sheet name=" II. TRANSFERS, INST. OPERATION" sheetId="3" r:id="rId4"/>
    <sheet name=" III. FINAL BUDGET" sheetId="1" r:id="rId5"/>
    <sheet name=" BUDGET DETAIL" sheetId="8" r:id="rId6"/>
    <sheet name=" DETAILS CONTRIBUTIONS" sheetId="13" r:id="rId7"/>
    <sheet name="PRESUPUESTO MODIFICADO" sheetId="10" state="hidden" r:id="rId8"/>
    <sheet name="SALDOS" sheetId="9" state="hidden" r:id="rId9"/>
    <sheet name="Uso Interno DESGLOSE FACTURAS" sheetId="11"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Area" localSheetId="5">'[1]DETALLE PRESUPUESTO'!$A$1:$I$11</definedName>
    <definedName name="_xlnm.Print_Area" localSheetId="6">'[2]DETALLE APORTES'!$A$1:$P$17</definedName>
    <definedName name="_xlnm.Print_Area" localSheetId="2">[3]I!$B$1:$F$27</definedName>
    <definedName name="_xlnm.Print_Area" localSheetId="4">[4]III!$B$1:$J$17</definedName>
    <definedName name="_xlnm.Print_Area" localSheetId="1">[5]COTIZACIONES!$A$1:$M$19</definedName>
    <definedName name="_xlnm.Print_Area" localSheetId="7">'[6]PRESUPUESTO MODIFICADO'!$A$2:$P$30</definedName>
    <definedName name="_xlnm.Print_Area" localSheetId="8">'[7]SALDOS '!$A$2:$Q$29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I9" i="5" s="1"/>
  <c r="H24" i="5"/>
  <c r="I24" i="5" s="1"/>
  <c r="H23" i="5"/>
  <c r="H22" i="5"/>
  <c r="H21" i="5"/>
  <c r="H20" i="5"/>
  <c r="H19" i="5"/>
  <c r="H18" i="5"/>
  <c r="H17" i="5"/>
  <c r="H16" i="5"/>
  <c r="H15" i="5"/>
  <c r="H14" i="5"/>
  <c r="I14" i="5" s="1"/>
  <c r="H10" i="5"/>
  <c r="I10" i="5" s="1"/>
  <c r="I15" i="5" l="1"/>
  <c r="I16" i="5" s="1"/>
  <c r="I17" i="5" s="1"/>
  <c r="I18" i="5" s="1"/>
  <c r="I19" i="5" s="1"/>
  <c r="I20" i="5" s="1"/>
  <c r="I21" i="5" s="1"/>
  <c r="I22" i="5" s="1"/>
  <c r="I23" i="5" s="1"/>
  <c r="L12" i="9" l="1"/>
  <c r="L15" i="9"/>
  <c r="L16" i="9"/>
  <c r="I12" i="9"/>
  <c r="V8" i="11"/>
  <c r="L10" i="9" s="1"/>
  <c r="U8" i="11"/>
  <c r="I10" i="9" s="1"/>
  <c r="U5" i="11"/>
  <c r="V5" i="11"/>
  <c r="V15" i="11" s="1"/>
  <c r="U6" i="11"/>
  <c r="I9" i="9" s="1"/>
  <c r="V6" i="11"/>
  <c r="V16" i="11" s="1"/>
  <c r="L14" i="9" s="1"/>
  <c r="U7" i="11"/>
  <c r="V7" i="11"/>
  <c r="U9" i="11"/>
  <c r="V9" i="11"/>
  <c r="W9" i="11" s="1"/>
  <c r="W19" i="11" s="1"/>
  <c r="U10" i="11"/>
  <c r="U20" i="11" s="1"/>
  <c r="V10" i="11"/>
  <c r="W10" i="11" s="1"/>
  <c r="W20" i="11" s="1"/>
  <c r="V4" i="11"/>
  <c r="L8" i="9" s="1"/>
  <c r="W4" i="11"/>
  <c r="U4" i="11"/>
  <c r="I8" i="9" s="1"/>
  <c r="W7" i="11"/>
  <c r="W17" i="11" s="1"/>
  <c r="R20" i="11"/>
  <c r="Q20" i="11"/>
  <c r="O20" i="11"/>
  <c r="R19" i="11"/>
  <c r="Q19" i="11"/>
  <c r="O19" i="11"/>
  <c r="R18" i="11"/>
  <c r="Q18" i="11"/>
  <c r="O18" i="11"/>
  <c r="R17" i="11"/>
  <c r="Q17" i="11"/>
  <c r="O17" i="11"/>
  <c r="R16" i="11"/>
  <c r="Q16" i="11"/>
  <c r="O16" i="11"/>
  <c r="R15" i="11"/>
  <c r="Q15" i="11"/>
  <c r="O15" i="11"/>
  <c r="R14" i="11"/>
  <c r="R21" i="11" s="1"/>
  <c r="Q14" i="11"/>
  <c r="O14" i="11"/>
  <c r="O21" i="11" s="1"/>
  <c r="R11" i="11"/>
  <c r="Q11" i="11"/>
  <c r="O11" i="11"/>
  <c r="S10" i="11"/>
  <c r="S20" i="11" s="1"/>
  <c r="P10" i="11"/>
  <c r="P20" i="11" s="1"/>
  <c r="S9" i="11"/>
  <c r="S19" i="11" s="1"/>
  <c r="P9" i="11"/>
  <c r="P19" i="11" s="1"/>
  <c r="S8" i="11"/>
  <c r="S18" i="11" s="1"/>
  <c r="P8" i="11"/>
  <c r="P18" i="11" s="1"/>
  <c r="S7" i="11"/>
  <c r="S17" i="11" s="1"/>
  <c r="P7" i="11"/>
  <c r="P17" i="11" s="1"/>
  <c r="S6" i="11"/>
  <c r="S16" i="11" s="1"/>
  <c r="P6" i="11"/>
  <c r="P16" i="11" s="1"/>
  <c r="S5" i="11"/>
  <c r="S15" i="11" s="1"/>
  <c r="P5" i="11"/>
  <c r="P15" i="11" s="1"/>
  <c r="S4" i="11"/>
  <c r="P4" i="11"/>
  <c r="P14" i="11" s="1"/>
  <c r="V19" i="11"/>
  <c r="U19" i="11"/>
  <c r="V18" i="11"/>
  <c r="U17" i="11"/>
  <c r="U16" i="11"/>
  <c r="U15" i="11"/>
  <c r="V14" i="11"/>
  <c r="L13" i="9" s="1"/>
  <c r="U14" i="11" l="1"/>
  <c r="I13" i="9" s="1"/>
  <c r="I11" i="9"/>
  <c r="L11" i="9"/>
  <c r="P11" i="11"/>
  <c r="Q21" i="11"/>
  <c r="L9" i="9"/>
  <c r="S11" i="11"/>
  <c r="S14" i="11"/>
  <c r="V20" i="11"/>
  <c r="W5" i="11"/>
  <c r="W15" i="11" s="1"/>
  <c r="U11" i="11"/>
  <c r="W6" i="11"/>
  <c r="W16" i="11" s="1"/>
  <c r="V11" i="11"/>
  <c r="V17" i="11"/>
  <c r="V21" i="11" s="1"/>
  <c r="U18" i="11"/>
  <c r="U21" i="11" s="1"/>
  <c r="W8" i="11"/>
  <c r="W18" i="11" s="1"/>
  <c r="P21" i="11"/>
  <c r="S21" i="11"/>
  <c r="W14" i="11"/>
  <c r="AB6" i="13"/>
  <c r="Z6" i="13"/>
  <c r="X6" i="13"/>
  <c r="V6" i="13"/>
  <c r="T6" i="13"/>
  <c r="R6" i="13"/>
  <c r="P6" i="13"/>
  <c r="N6" i="13"/>
  <c r="L6" i="13"/>
  <c r="J6" i="13"/>
  <c r="H6" i="13"/>
  <c r="F11" i="13"/>
  <c r="G11" i="3" s="1"/>
  <c r="F12" i="13"/>
  <c r="F13" i="13"/>
  <c r="I13" i="1" s="1"/>
  <c r="N14" i="10" s="1"/>
  <c r="F14" i="13"/>
  <c r="I14" i="1" s="1"/>
  <c r="N15" i="10" s="1"/>
  <c r="F15" i="13"/>
  <c r="I15" i="1" s="1"/>
  <c r="N16" i="10" s="1"/>
  <c r="E15" i="13"/>
  <c r="F16" i="3" s="1"/>
  <c r="E14" i="13"/>
  <c r="E13" i="13"/>
  <c r="E12" i="13"/>
  <c r="I12" i="3" s="1"/>
  <c r="E11" i="13"/>
  <c r="E10" i="13"/>
  <c r="E9" i="13"/>
  <c r="E8" i="13"/>
  <c r="F10" i="13"/>
  <c r="E7" i="13"/>
  <c r="M7" i="2"/>
  <c r="W11" i="11" l="1"/>
  <c r="W21" i="11"/>
  <c r="C10" i="8"/>
  <c r="C9" i="8"/>
  <c r="C8" i="8"/>
  <c r="C6" i="8"/>
  <c r="C5" i="8"/>
  <c r="C4" i="8"/>
  <c r="C3" i="8"/>
  <c r="I11" i="1"/>
  <c r="N12" i="10" s="1"/>
  <c r="I12" i="1"/>
  <c r="N13" i="10" s="1"/>
  <c r="I10" i="1"/>
  <c r="N11" i="10" s="1"/>
  <c r="H15" i="1"/>
  <c r="K16" i="10" s="1"/>
  <c r="H9" i="1"/>
  <c r="K10" i="10" s="1"/>
  <c r="H10" i="1"/>
  <c r="K11" i="10" s="1"/>
  <c r="H11" i="1"/>
  <c r="K12" i="10" s="1"/>
  <c r="H12" i="1"/>
  <c r="K13" i="10" s="1"/>
  <c r="G10" i="1"/>
  <c r="H11" i="10" s="1"/>
  <c r="G11" i="1"/>
  <c r="H12" i="10" s="1"/>
  <c r="G12" i="1"/>
  <c r="G9" i="1"/>
  <c r="H10" i="10" s="1"/>
  <c r="E25" i="3"/>
  <c r="H13" i="10" l="1"/>
  <c r="F12" i="1"/>
  <c r="H6" i="8" s="1"/>
  <c r="F15" i="3"/>
  <c r="H14" i="1" s="1"/>
  <c r="K15" i="10" s="1"/>
  <c r="F14" i="3"/>
  <c r="H13" i="1" s="1"/>
  <c r="K14" i="10" s="1"/>
  <c r="E8" i="3"/>
  <c r="G8" i="1" s="1"/>
  <c r="H9" i="10" s="1"/>
  <c r="E7" i="3"/>
  <c r="G7" i="1" s="1"/>
  <c r="F8" i="3"/>
  <c r="H8" i="1" s="1"/>
  <c r="K9" i="10" s="1"/>
  <c r="F7" i="3"/>
  <c r="H7" i="1" s="1"/>
  <c r="K8" i="10" s="1"/>
  <c r="H8" i="10" l="1"/>
  <c r="G16" i="1"/>
  <c r="I20" i="9"/>
  <c r="L20" i="11" l="1"/>
  <c r="K20" i="11"/>
  <c r="I20" i="11"/>
  <c r="F20" i="11"/>
  <c r="C20" i="11"/>
  <c r="L19" i="11"/>
  <c r="K19" i="11"/>
  <c r="I19" i="11"/>
  <c r="F19" i="11"/>
  <c r="C19" i="11"/>
  <c r="L18" i="11"/>
  <c r="K18" i="11"/>
  <c r="I18" i="11"/>
  <c r="F18" i="11"/>
  <c r="C18" i="11"/>
  <c r="L17" i="11"/>
  <c r="K17" i="11"/>
  <c r="I17" i="11"/>
  <c r="F17" i="11"/>
  <c r="C17" i="11"/>
  <c r="L16" i="11"/>
  <c r="K16" i="11"/>
  <c r="I16" i="11"/>
  <c r="F16" i="11"/>
  <c r="C16" i="11"/>
  <c r="L15" i="11"/>
  <c r="K15" i="11"/>
  <c r="I15" i="11"/>
  <c r="F15" i="11"/>
  <c r="C15" i="11"/>
  <c r="L14" i="11"/>
  <c r="K14" i="11"/>
  <c r="I14" i="11"/>
  <c r="F14" i="11"/>
  <c r="C14" i="11"/>
  <c r="L11" i="11"/>
  <c r="K11" i="11"/>
  <c r="I11" i="11"/>
  <c r="F11" i="11"/>
  <c r="C11" i="11"/>
  <c r="M10" i="11"/>
  <c r="M20" i="11" s="1"/>
  <c r="J10" i="11"/>
  <c r="J20" i="11" s="1"/>
  <c r="G10" i="11"/>
  <c r="G20" i="11" s="1"/>
  <c r="D10" i="11"/>
  <c r="D20" i="11" s="1"/>
  <c r="M9" i="11"/>
  <c r="M19" i="11" s="1"/>
  <c r="J9" i="11"/>
  <c r="J19" i="11" s="1"/>
  <c r="G9" i="11"/>
  <c r="G19" i="11" s="1"/>
  <c r="D9" i="11"/>
  <c r="D19" i="11" s="1"/>
  <c r="M8" i="11"/>
  <c r="M18" i="11" s="1"/>
  <c r="J8" i="11"/>
  <c r="J18" i="11" s="1"/>
  <c r="G8" i="11"/>
  <c r="G18" i="11" s="1"/>
  <c r="D8" i="11"/>
  <c r="D18" i="11" s="1"/>
  <c r="M7" i="11"/>
  <c r="M17" i="11" s="1"/>
  <c r="J7" i="11"/>
  <c r="J17" i="11" s="1"/>
  <c r="G7" i="11"/>
  <c r="G17" i="11" s="1"/>
  <c r="D7" i="11"/>
  <c r="D17" i="11" s="1"/>
  <c r="M6" i="11"/>
  <c r="M16" i="11" s="1"/>
  <c r="J6" i="11"/>
  <c r="J16" i="11" s="1"/>
  <c r="G6" i="11"/>
  <c r="G16" i="11" s="1"/>
  <c r="D6" i="11"/>
  <c r="D16" i="11" s="1"/>
  <c r="M5" i="11"/>
  <c r="M15" i="11" s="1"/>
  <c r="J5" i="11"/>
  <c r="J15" i="11" s="1"/>
  <c r="G5" i="11"/>
  <c r="G15" i="11" s="1"/>
  <c r="D5" i="11"/>
  <c r="D15" i="11" s="1"/>
  <c r="M4" i="11"/>
  <c r="M11" i="11" s="1"/>
  <c r="J4" i="11"/>
  <c r="J14" i="11" s="1"/>
  <c r="G4" i="11"/>
  <c r="G14" i="11" s="1"/>
  <c r="D4" i="11"/>
  <c r="D14" i="11" s="1"/>
  <c r="M14" i="11" l="1"/>
  <c r="M21" i="11" s="1"/>
  <c r="L21" i="11"/>
  <c r="G21" i="11"/>
  <c r="I21" i="11"/>
  <c r="J11" i="11"/>
  <c r="K21" i="11"/>
  <c r="C21" i="11"/>
  <c r="D11" i="11"/>
  <c r="D21" i="11"/>
  <c r="F21" i="11"/>
  <c r="J21" i="11"/>
  <c r="G11" i="11"/>
  <c r="G16" i="13" l="1"/>
  <c r="AB16" i="13" l="1"/>
  <c r="AA16" i="13"/>
  <c r="Z16" i="13"/>
  <c r="Y16" i="13"/>
  <c r="X16" i="13"/>
  <c r="W16" i="13"/>
  <c r="V16" i="13"/>
  <c r="U16" i="13"/>
  <c r="T16" i="13"/>
  <c r="S16" i="13"/>
  <c r="R16" i="13"/>
  <c r="Q16" i="13"/>
  <c r="I26" i="9" l="1"/>
  <c r="F15" i="9"/>
  <c r="F15" i="10"/>
  <c r="P15" i="10" l="1"/>
  <c r="N15" i="9" s="1"/>
  <c r="M15" i="10"/>
  <c r="K15" i="9" l="1"/>
  <c r="M15" i="9" s="1"/>
  <c r="P15" i="9"/>
  <c r="E15" i="10"/>
  <c r="G15" i="10" s="1"/>
  <c r="F14" i="1"/>
  <c r="H9" i="8" s="1"/>
  <c r="H16" i="13"/>
  <c r="J16" i="13"/>
  <c r="L16" i="13"/>
  <c r="N16" i="13"/>
  <c r="P16" i="13"/>
  <c r="F16" i="13"/>
  <c r="M16" i="13"/>
  <c r="K16" i="13"/>
  <c r="E15" i="9" l="1"/>
  <c r="G15" i="9"/>
  <c r="I16" i="13"/>
  <c r="O16" i="13"/>
  <c r="P7" i="2"/>
  <c r="P8" i="2" s="1"/>
  <c r="E22" i="2" s="1"/>
  <c r="D22" i="2" s="1"/>
  <c r="N6" i="2" l="1"/>
  <c r="E21" i="2" s="1"/>
  <c r="M6" i="2"/>
  <c r="O7" i="10"/>
  <c r="L7" i="10"/>
  <c r="I7" i="10"/>
  <c r="I22" i="9"/>
  <c r="I21" i="9"/>
  <c r="F13" i="9"/>
  <c r="F8" i="10"/>
  <c r="F9" i="10"/>
  <c r="F10" i="10"/>
  <c r="F11" i="10"/>
  <c r="F12" i="10"/>
  <c r="F13" i="10"/>
  <c r="F14" i="10"/>
  <c r="F16" i="10"/>
  <c r="M10" i="10"/>
  <c r="M11" i="10"/>
  <c r="M12" i="10"/>
  <c r="M13" i="10"/>
  <c r="J20" i="10"/>
  <c r="O17" i="10"/>
  <c r="L17" i="10"/>
  <c r="I17" i="10"/>
  <c r="I17" i="9"/>
  <c r="L17" i="9"/>
  <c r="I27" i="9" s="1"/>
  <c r="O17" i="9"/>
  <c r="I28" i="9" s="1"/>
  <c r="F16" i="9"/>
  <c r="F14" i="9"/>
  <c r="F12" i="9"/>
  <c r="F11" i="9"/>
  <c r="F10" i="9"/>
  <c r="F9" i="9"/>
  <c r="F8" i="9"/>
  <c r="P14" i="10"/>
  <c r="G23" i="3"/>
  <c r="P18" i="3"/>
  <c r="P13" i="10"/>
  <c r="F25" i="3"/>
  <c r="P16" i="10"/>
  <c r="J13" i="10"/>
  <c r="H13" i="9" s="1"/>
  <c r="F17" i="10" l="1"/>
  <c r="N16" i="9"/>
  <c r="P16" i="9" s="1"/>
  <c r="N14" i="9"/>
  <c r="P14" i="9" s="1"/>
  <c r="K13" i="9"/>
  <c r="M13" i="9" s="1"/>
  <c r="K12" i="9"/>
  <c r="M12" i="9" s="1"/>
  <c r="K11" i="9"/>
  <c r="M11" i="9" s="1"/>
  <c r="K10" i="9"/>
  <c r="M10" i="9" s="1"/>
  <c r="N13" i="9"/>
  <c r="F17" i="9"/>
  <c r="I25" i="9"/>
  <c r="J26" i="9" s="1"/>
  <c r="K26" i="9" s="1"/>
  <c r="D21" i="2"/>
  <c r="H9" i="2"/>
  <c r="I29" i="9"/>
  <c r="P11" i="10"/>
  <c r="N11" i="9" s="1"/>
  <c r="M8" i="10"/>
  <c r="K8" i="9" s="1"/>
  <c r="M9" i="10"/>
  <c r="O6" i="2"/>
  <c r="P6" i="2" s="1"/>
  <c r="E26" i="3"/>
  <c r="E23" i="3"/>
  <c r="P12" i="10"/>
  <c r="J12" i="10"/>
  <c r="H12" i="9" s="1"/>
  <c r="F11" i="1"/>
  <c r="H5" i="8" s="1"/>
  <c r="K11" i="1"/>
  <c r="E13" i="10"/>
  <c r="G13" i="10" s="1"/>
  <c r="J13" i="9"/>
  <c r="F10" i="1"/>
  <c r="H4" i="8" s="1"/>
  <c r="J11" i="10"/>
  <c r="F23" i="3"/>
  <c r="E27" i="3" s="1"/>
  <c r="R14" i="10"/>
  <c r="F13" i="1"/>
  <c r="H8" i="8" s="1"/>
  <c r="E16" i="10"/>
  <c r="G16" i="10" s="1"/>
  <c r="M16" i="10"/>
  <c r="K16" i="9" s="1"/>
  <c r="F15" i="1"/>
  <c r="H10" i="8" s="1"/>
  <c r="K13" i="1"/>
  <c r="H16" i="2" l="1"/>
  <c r="E25" i="2" s="1"/>
  <c r="E13" i="9"/>
  <c r="N12" i="9"/>
  <c r="P12" i="9" s="1"/>
  <c r="K9" i="9"/>
  <c r="M9" i="9" s="1"/>
  <c r="P13" i="9"/>
  <c r="G13" i="9" s="1"/>
  <c r="H11" i="9"/>
  <c r="J11" i="9" s="1"/>
  <c r="J28" i="9"/>
  <c r="J27" i="9"/>
  <c r="J29" i="9"/>
  <c r="K29" i="9" s="1"/>
  <c r="D18" i="3"/>
  <c r="E18" i="3"/>
  <c r="Q18" i="3" s="1"/>
  <c r="F8" i="1"/>
  <c r="E16" i="13"/>
  <c r="E9" i="10"/>
  <c r="G9" i="10" s="1"/>
  <c r="N17" i="10"/>
  <c r="F27" i="3"/>
  <c r="E31" i="3"/>
  <c r="E12" i="10"/>
  <c r="G12" i="10" s="1"/>
  <c r="E14" i="10"/>
  <c r="G14" i="10" s="1"/>
  <c r="M14" i="10"/>
  <c r="K17" i="10"/>
  <c r="M8" i="9"/>
  <c r="E8" i="10"/>
  <c r="G8" i="10" s="1"/>
  <c r="F7" i="1"/>
  <c r="E11" i="10"/>
  <c r="G11" i="10" s="1"/>
  <c r="E12" i="9"/>
  <c r="J12" i="9"/>
  <c r="P17" i="10"/>
  <c r="J29" i="10" s="1"/>
  <c r="R12" i="10"/>
  <c r="E16" i="9"/>
  <c r="M16" i="9"/>
  <c r="G16" i="9" s="1"/>
  <c r="H25" i="2" l="1"/>
  <c r="C25" i="2"/>
  <c r="D25" i="2"/>
  <c r="G12" i="9"/>
  <c r="M17" i="10"/>
  <c r="J28" i="10" s="1"/>
  <c r="J30" i="10" s="1"/>
  <c r="K14" i="9"/>
  <c r="M14" i="9" s="1"/>
  <c r="I16" i="1"/>
  <c r="J26" i="10"/>
  <c r="C24" i="2"/>
  <c r="J27" i="10"/>
  <c r="J9" i="10"/>
  <c r="F9" i="1"/>
  <c r="H3" i="8" s="1"/>
  <c r="H17" i="10"/>
  <c r="J8" i="10"/>
  <c r="N17" i="9"/>
  <c r="P11" i="9"/>
  <c r="E11" i="9"/>
  <c r="H9" i="9" l="1"/>
  <c r="E9" i="9" s="1"/>
  <c r="F16" i="1"/>
  <c r="H8" i="9"/>
  <c r="J8" i="9" s="1"/>
  <c r="G8" i="9" s="1"/>
  <c r="J21" i="10"/>
  <c r="K30" i="2"/>
  <c r="E29" i="3"/>
  <c r="H16" i="1" s="1"/>
  <c r="K29" i="10"/>
  <c r="E14" i="9"/>
  <c r="K17" i="9"/>
  <c r="E10" i="10"/>
  <c r="J10" i="10"/>
  <c r="P17" i="9"/>
  <c r="G11" i="9"/>
  <c r="G14" i="9"/>
  <c r="M17" i="9"/>
  <c r="J9" i="9" l="1"/>
  <c r="G9" i="9" s="1"/>
  <c r="J17" i="10"/>
  <c r="H10" i="9"/>
  <c r="H17" i="9" s="1"/>
  <c r="F18" i="3"/>
  <c r="G18" i="3"/>
  <c r="K27" i="10"/>
  <c r="L27" i="10" s="1"/>
  <c r="K28" i="10"/>
  <c r="K30" i="10"/>
  <c r="L30" i="10" s="1"/>
  <c r="J22" i="10"/>
  <c r="J23" i="10" s="1"/>
  <c r="G10" i="10"/>
  <c r="G17" i="10" s="1"/>
  <c r="E17" i="10"/>
  <c r="E8" i="9"/>
  <c r="J10" i="9" l="1"/>
  <c r="E10" i="9"/>
  <c r="E17" i="9" s="1"/>
  <c r="G10" i="9" l="1"/>
  <c r="G17" i="9" s="1"/>
  <c r="J17" i="9"/>
  <c r="S18" i="3" l="1"/>
  <c r="R18" i="3"/>
  <c r="E32" i="3"/>
  <c r="F29" i="3"/>
  <c r="F30" i="3"/>
  <c r="T18" i="3" l="1"/>
  <c r="E30" i="3"/>
  <c r="F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Roxany Barahona Ligueno</author>
  </authors>
  <commentList>
    <comment ref="J4" authorId="0" shapeId="0" xr:uid="{00000000-0006-0000-0100-000001000000}">
      <text>
        <r>
          <rPr>
            <b/>
            <sz val="9"/>
            <color indexed="81"/>
            <rFont val="Tahoma"/>
            <family val="2"/>
          </rPr>
          <t>Specify Other Currency used in the quote.-</t>
        </r>
      </text>
    </comment>
    <comment ref="J5" authorId="0" shapeId="0" xr:uid="{00000000-0006-0000-0100-000002000000}">
      <text>
        <r>
          <rPr>
            <b/>
            <sz val="9"/>
            <color indexed="81"/>
            <rFont val="Tahoma"/>
            <family val="2"/>
          </rPr>
          <t>Indicate Exchange Rate used with Another Currency.-</t>
        </r>
      </text>
    </comment>
    <comment ref="G8" authorId="0" shapeId="0" xr:uid="{00000000-0006-0000-0100-000003000000}">
      <text>
        <r>
          <rPr>
            <b/>
            <sz val="9"/>
            <color indexed="81"/>
            <rFont val="Tahoma"/>
            <family val="2"/>
          </rPr>
          <t xml:space="preserve"> Select the Currency used in the Quotation.-</t>
        </r>
      </text>
    </comment>
    <comment ref="G13" authorId="0" shapeId="0" xr:uid="{00000000-0006-0000-0100-000004000000}">
      <text>
        <r>
          <rPr>
            <b/>
            <sz val="9"/>
            <color indexed="81"/>
            <rFont val="Tahoma"/>
            <family val="2"/>
          </rPr>
          <t xml:space="preserve"> Select the Currency used in the Quotation.-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Roxany Barahona Ligueno</author>
  </authors>
  <commentList>
    <comment ref="I5" authorId="0" shapeId="0" xr:uid="{00000000-0006-0000-0600-000001000000}">
      <text>
        <r>
          <rPr>
            <sz val="9"/>
            <color indexed="81"/>
            <rFont val="Tahoma"/>
            <family val="2"/>
          </rPr>
          <t>Name of the Associated Institution.-</t>
        </r>
      </text>
    </comment>
    <comment ref="K5" authorId="0" shapeId="0" xr:uid="{00000000-0006-0000-0600-000002000000}">
      <text>
        <r>
          <rPr>
            <sz val="9"/>
            <color indexed="81"/>
            <rFont val="Tahoma"/>
            <family val="2"/>
          </rPr>
          <t>Name of the Associated Institution.-</t>
        </r>
      </text>
    </comment>
    <comment ref="M5" authorId="0" shapeId="0" xr:uid="{00000000-0006-0000-0600-000003000000}">
      <text>
        <r>
          <rPr>
            <sz val="9"/>
            <color indexed="81"/>
            <rFont val="Tahoma"/>
            <family val="2"/>
          </rPr>
          <t>Name of the Associated Institution.-</t>
        </r>
      </text>
    </comment>
    <comment ref="O5" authorId="0" shapeId="0" xr:uid="{00000000-0006-0000-0600-000004000000}">
      <text>
        <r>
          <rPr>
            <sz val="9"/>
            <color indexed="81"/>
            <rFont val="Tahoma"/>
            <family val="2"/>
          </rPr>
          <t>Name of the Associated Institution.-</t>
        </r>
      </text>
    </comment>
    <comment ref="Q5" authorId="0" shapeId="0" xr:uid="{00000000-0006-0000-0600-000005000000}">
      <text>
        <r>
          <rPr>
            <sz val="9"/>
            <color indexed="81"/>
            <rFont val="Tahoma"/>
            <family val="2"/>
          </rPr>
          <t>Name of the Associated Institution.-</t>
        </r>
      </text>
    </comment>
    <comment ref="S5" authorId="0" shapeId="0" xr:uid="{00000000-0006-0000-0600-000006000000}">
      <text>
        <r>
          <rPr>
            <sz val="9"/>
            <color indexed="81"/>
            <rFont val="Tahoma"/>
            <family val="2"/>
          </rPr>
          <t>Name of the Associated Institution.-</t>
        </r>
      </text>
    </comment>
    <comment ref="U5" authorId="0" shapeId="0" xr:uid="{00000000-0006-0000-0600-000007000000}">
      <text>
        <r>
          <rPr>
            <sz val="9"/>
            <color indexed="81"/>
            <rFont val="Tahoma"/>
            <family val="2"/>
          </rPr>
          <t>Name of the Associated Institution.-</t>
        </r>
      </text>
    </comment>
    <comment ref="W5" authorId="0" shapeId="0" xr:uid="{00000000-0006-0000-0600-000008000000}">
      <text>
        <r>
          <rPr>
            <sz val="9"/>
            <color indexed="81"/>
            <rFont val="Tahoma"/>
            <family val="2"/>
          </rPr>
          <t>Name of the Associated Institution.-</t>
        </r>
      </text>
    </comment>
    <comment ref="Y5" authorId="0" shapeId="0" xr:uid="{00000000-0006-0000-0600-000009000000}">
      <text>
        <r>
          <rPr>
            <sz val="9"/>
            <color indexed="81"/>
            <rFont val="Tahoma"/>
            <family val="2"/>
          </rPr>
          <t>Name of the Associated Institution.-</t>
        </r>
      </text>
    </comment>
    <comment ref="AA5" authorId="0" shapeId="0" xr:uid="{00000000-0006-0000-0600-00000A000000}">
      <text>
        <r>
          <rPr>
            <sz val="9"/>
            <color indexed="81"/>
            <rFont val="Tahoma"/>
            <family val="2"/>
          </rPr>
          <t>Name of the Associated Institution.-</t>
        </r>
      </text>
    </comment>
  </commentList>
</comments>
</file>

<file path=xl/sharedStrings.xml><?xml version="1.0" encoding="utf-8"?>
<sst xmlns="http://schemas.openxmlformats.org/spreadsheetml/2006/main" count="324" uniqueCount="161">
  <si>
    <t>INSTRUCTIONS</t>
  </si>
  <si>
    <t>QUOTES</t>
  </si>
  <si>
    <t>BUDGET</t>
  </si>
  <si>
    <r>
      <rPr>
        <b/>
        <sz val="11"/>
        <color indexed="8"/>
        <rFont val="Calibri"/>
        <family val="2"/>
        <scheme val="minor"/>
      </rPr>
      <t>1.-</t>
    </r>
    <r>
      <rPr>
        <sz val="11"/>
        <color indexed="8"/>
        <rFont val="Calibri"/>
        <family val="2"/>
        <scheme val="minor"/>
      </rPr>
      <t xml:space="preserve"> You should only enter values in the cells corresponding to the amounts of each Sub-item.</t>
    </r>
  </si>
  <si>
    <t>OBSERVATIONS</t>
  </si>
  <si>
    <t>CONSIDER:</t>
  </si>
  <si>
    <t xml:space="preserve"> 1. Indicate the Exchange Rate used in the case of Another Currency.</t>
  </si>
  <si>
    <t>Exchange rate used (Pesos $)</t>
  </si>
  <si>
    <t>2. Select from the drop-down list the currency in which the amounts in the Quotation are expressed. The equivalent amount in Chilean Pesos ($) will be automatically calculated.</t>
  </si>
  <si>
    <t>Dollar</t>
  </si>
  <si>
    <t>Euro</t>
  </si>
  <si>
    <t>Pesos</t>
  </si>
  <si>
    <t>Other Currency</t>
  </si>
  <si>
    <t>Quotation No.</t>
  </si>
  <si>
    <t>Quote Amount</t>
  </si>
  <si>
    <t>Amount $</t>
  </si>
  <si>
    <t>A. EQUIPMENT</t>
  </si>
  <si>
    <t>A.1. Main Equipment or Platform</t>
  </si>
  <si>
    <t>Amount ($)</t>
  </si>
  <si>
    <t>CHECK</t>
  </si>
  <si>
    <t>2.- ENTER INSTITUTIONAL PECUNIARY CONTRIBUTION</t>
  </si>
  <si>
    <t xml:space="preserve"> When the Requested Contribution Amount from FONDEQUIP is accepted, the verification cell must be GREEN.</t>
  </si>
  <si>
    <t>Amounts Requested from FONDEQUIP</t>
  </si>
  <si>
    <t>Amounts Contributed by the Institutions</t>
  </si>
  <si>
    <t>CONSIDERATIONS</t>
  </si>
  <si>
    <t>Pecuniary Contribution</t>
  </si>
  <si>
    <t>Non-pecuniary contribution</t>
  </si>
  <si>
    <t>DOES NOT APPLY</t>
  </si>
  <si>
    <t>B.1. Transfers, Transfer Insurance, Customs Clearance and Equipment VAT</t>
  </si>
  <si>
    <t>B.2. Adequacy Space for Equipment</t>
  </si>
  <si>
    <t>B.3. Equipment Installation and Commissioning</t>
  </si>
  <si>
    <t>3.- It is recommended to include the equipment in the institutional insurance policy (Non-Pecuniary Contribution).</t>
  </si>
  <si>
    <t>B.4. Equipment Maintenance, Warranties and Insurance</t>
  </si>
  <si>
    <t>C.2. Other Operating Expenses</t>
  </si>
  <si>
    <t>C.3. Administration Expenses</t>
  </si>
  <si>
    <t xml:space="preserve"> When the Amounts of the contributions, both from FONDEQUIP and from the Institutions, comply with the financing and co-financing rules, according to the bases, the CONTRIBUTION VERIFICATION cells will be GREEN. There should be no RED alerts.</t>
  </si>
  <si>
    <t>TOTAL BUDGET</t>
  </si>
  <si>
    <t>TOTAL A. EQUIPMENT</t>
  </si>
  <si>
    <t>MINIMUM CONTRIBUTION = 50% OF THE TOTAL AMOUNT OF A. EQUIPMENT</t>
  </si>
  <si>
    <t>TOTAL PECUNIARY + TOTAL NON-PECUNIARY</t>
  </si>
  <si>
    <t>FONDEQUIP CONTRIBUTION A. EQUIPMENT</t>
  </si>
  <si>
    <t>MAXIMUM TO FUND SUB-ITEMS OF B. TRANSFERS AND INSTALLATION</t>
  </si>
  <si>
    <t>TOTAL SUB-ITEMS OF B. TRANSFERS AND INSTALLATION</t>
  </si>
  <si>
    <t>% OF A. EQUIPMENT</t>
  </si>
  <si>
    <t>FINAL BUDGET</t>
  </si>
  <si>
    <t>Total project cost</t>
  </si>
  <si>
    <t>Amounts requested from FONDEQUIP</t>
  </si>
  <si>
    <t>Amounts contributed by the INSTITUTIONS</t>
  </si>
  <si>
    <t>Item</t>
  </si>
  <si>
    <t>Sub-Item Set</t>
  </si>
  <si>
    <t>Sub-Item</t>
  </si>
  <si>
    <t>Pecuniary</t>
  </si>
  <si>
    <t>EQUIPMENT</t>
  </si>
  <si>
    <t>A</t>
  </si>
  <si>
    <t>B.</t>
  </si>
  <si>
    <t>TRANSFERS AND INSTALLATION</t>
  </si>
  <si>
    <t>C</t>
  </si>
  <si>
    <t>OPERATION</t>
  </si>
  <si>
    <t>(DO NOT COMPLETE OR MODIFY)</t>
  </si>
  <si>
    <t>TOTALS</t>
  </si>
  <si>
    <t>BUDGET DETAIL</t>
  </si>
  <si>
    <t>Sub-item</t>
  </si>
  <si>
    <t>Break down the amounts and briefly explain each Sub-item of the Budget, you must refer to the FONDEQUIP, Pecuniary and Non-Pecuniary contributions.</t>
  </si>
  <si>
    <t>DETAIL INSTITUTIONAL CONTRIBUTIONS</t>
  </si>
  <si>
    <t>Total CONTRIBUTIONS to the Project</t>
  </si>
  <si>
    <t>Amounts contributed by the MAIN INSTITUTION</t>
  </si>
  <si>
    <t>Amounts contributed by the ASSOCIATED INSTITUTION 8</t>
  </si>
  <si>
    <t>Amounts contributed by the ASSOCIATED INSTITUTION 9</t>
  </si>
  <si>
    <t>Amounts contributed by the ASSOCIATED INSTITUTION 10</t>
  </si>
  <si>
    <t>AMENDED BUDGET</t>
  </si>
  <si>
    <t>Awarded amounts FONDEQUIP</t>
  </si>
  <si>
    <t>Approved budget</t>
  </si>
  <si>
    <t>Modification Requested (Date: )</t>
  </si>
  <si>
    <t>Modified Budget</t>
  </si>
  <si>
    <t>Committed Pecuniary</t>
  </si>
  <si>
    <t>Modified Pecuniary</t>
  </si>
  <si>
    <t>No Committed Pecuniary</t>
  </si>
  <si>
    <t>Non-Modified Pecuniary</t>
  </si>
  <si>
    <t>TOTAL B. TRANSFERS AND INSTALLATION</t>
  </si>
  <si>
    <t>PECUNIARY CONTRIBUTION G. OPERATION + EQUIPMENT</t>
  </si>
  <si>
    <t xml:space="preserve"> TOTAL PECUNIARY CONTRIBUTIONS</t>
  </si>
  <si>
    <t xml:space="preserve"> TOTAL NON-PECUNIARY CONTRIBUTIONS</t>
  </si>
  <si>
    <t>TOTAL CONTRIBUTIONS</t>
  </si>
  <si>
    <t>FINAL BUDGET VS AMOUNTS RETURNED</t>
  </si>
  <si>
    <t>FONDEQUIP Awarded Amounts</t>
  </si>
  <si>
    <t>Accountability</t>
  </si>
  <si>
    <t>Balance to Render</t>
  </si>
  <si>
    <t>SURRENDERED</t>
  </si>
  <si>
    <t>INVOICE N°</t>
  </si>
  <si>
    <t>USD</t>
  </si>
  <si>
    <t>PESOS</t>
  </si>
  <si>
    <t>FONDEQUIP</t>
  </si>
  <si>
    <t>TOTAL</t>
  </si>
  <si>
    <r>
      <rPr>
        <b/>
        <sz val="11"/>
        <color indexed="8"/>
        <rFont val="Calibri"/>
        <family val="2"/>
        <scheme val="minor"/>
      </rPr>
      <t>7.-</t>
    </r>
    <r>
      <rPr>
        <sz val="11"/>
        <color indexed="8"/>
        <rFont val="Calibri"/>
        <family val="2"/>
        <scheme val="minor"/>
      </rPr>
      <t xml:space="preserve"> The </t>
    </r>
    <r>
      <rPr>
        <b/>
        <sz val="11"/>
        <color indexed="8"/>
        <rFont val="Calibri"/>
        <family val="2"/>
        <scheme val="minor"/>
      </rPr>
      <t>Total amount requested from FONDEQUIP</t>
    </r>
    <r>
      <rPr>
        <sz val="11"/>
        <color indexed="8"/>
        <rFont val="Calibri"/>
        <family val="2"/>
        <scheme val="minor"/>
      </rPr>
      <t xml:space="preserve"> cannot be greater than</t>
    </r>
    <r>
      <rPr>
        <b/>
        <sz val="11"/>
        <color indexed="8"/>
        <rFont val="Calibri"/>
        <family val="2"/>
        <scheme val="minor"/>
      </rPr>
      <t xml:space="preserve"> $950.000.000 (nine hundred and fifty million pesos)</t>
    </r>
    <r>
      <rPr>
        <sz val="11"/>
        <color indexed="8"/>
        <rFont val="Calibri"/>
        <family val="2"/>
        <scheme val="minor"/>
      </rPr>
      <t xml:space="preserve"> .-</t>
    </r>
  </si>
  <si>
    <r>
      <rPr>
        <b/>
        <u/>
        <sz val="11"/>
        <color theme="0"/>
        <rFont val="Calibri"/>
        <family val="2"/>
        <scheme val="minor"/>
      </rPr>
      <t xml:space="preserve">IMPORTANT
</t>
    </r>
    <r>
      <rPr>
        <b/>
        <sz val="11"/>
        <color theme="0"/>
        <rFont val="Calibri"/>
        <family val="2"/>
        <scheme val="minor"/>
      </rPr>
      <t>* All amounts must be entered in full and in Chilean pesos (for example: $1.000.000 instead of M$1.000).- 
* Remember that the applicant is responsible for the correct entry of the amounts in the corresponding cells and the completeness of the Form, the verification and/or validation cells are only helpful. You must not alter the format or the formulas (move cells, insert rows, delete columns, etc.).</t>
    </r>
  </si>
  <si>
    <r>
      <rPr>
        <b/>
        <sz val="11"/>
        <color indexed="8"/>
        <rFont val="Calibri"/>
        <family val="2"/>
        <scheme val="minor"/>
      </rPr>
      <t>4.-</t>
    </r>
    <r>
      <rPr>
        <sz val="11"/>
        <color indexed="8"/>
        <rFont val="Calibri"/>
        <family val="2"/>
        <scheme val="minor"/>
      </rPr>
      <t xml:space="preserve"> The </t>
    </r>
    <r>
      <rPr>
        <b/>
        <sz val="11"/>
        <color indexed="8"/>
        <rFont val="Calibri"/>
        <family val="2"/>
        <scheme val="minor"/>
      </rPr>
      <t>Total Non-Pecuniary Contribution of the Institution(s)</t>
    </r>
    <r>
      <rPr>
        <sz val="11"/>
        <color indexed="8"/>
        <rFont val="Calibri"/>
        <family val="2"/>
        <scheme val="minor"/>
      </rPr>
      <t xml:space="preserve"> that make up the proposal must be, at least, the equivalent of the percentage not financed by pecuniary contributions necessary to achieve, at least, 50% of co-financing of the amount of A. Equipment.-</t>
    </r>
  </si>
  <si>
    <r>
      <rPr>
        <b/>
        <sz val="11"/>
        <color indexed="8"/>
        <rFont val="Calibri"/>
        <family val="2"/>
        <scheme val="minor"/>
      </rPr>
      <t>6.-</t>
    </r>
    <r>
      <rPr>
        <sz val="11"/>
        <color indexed="8"/>
        <rFont val="Calibri"/>
        <family val="2"/>
        <scheme val="minor"/>
      </rPr>
      <t xml:space="preserve"> The sub-item </t>
    </r>
    <r>
      <rPr>
        <b/>
        <sz val="11"/>
        <color indexed="8"/>
        <rFont val="Calibri"/>
        <family val="2"/>
        <scheme val="minor"/>
      </rPr>
      <t>B.4. Maintenance, Guarantees and Insurance</t>
    </r>
    <r>
      <rPr>
        <sz val="11"/>
        <color indexed="8"/>
        <rFont val="Calibri"/>
        <family val="2"/>
        <scheme val="minor"/>
      </rPr>
      <t xml:space="preserve"> must contemplate mandatory financing, either requested from FONDEQUIP or with Pecuniary and/or Non-Pecuniary Contributions from the Institutions.-</t>
    </r>
  </si>
  <si>
    <t>A.2. Accessories</t>
  </si>
  <si>
    <t>C.1. Training</t>
  </si>
  <si>
    <r>
      <t xml:space="preserve">2.- The </t>
    </r>
    <r>
      <rPr>
        <b/>
        <sz val="10.5"/>
        <rFont val="Calibri"/>
        <family val="2"/>
        <scheme val="minor"/>
      </rPr>
      <t>Sub-item Maintenance, Guarantees and Insurance</t>
    </r>
    <r>
      <rPr>
        <sz val="10.5"/>
        <rFont val="Calibri"/>
        <family val="2"/>
        <scheme val="minor"/>
      </rPr>
      <t xml:space="preserve"> must consider financing, either by FONDEQUIP or the Beneficiary and/or Associated Institutions (Monetary and/or Non-Monetary).</t>
    </r>
  </si>
  <si>
    <r>
      <t xml:space="preserve">1.- If in </t>
    </r>
    <r>
      <rPr>
        <b/>
        <sz val="10.5"/>
        <rFont val="Calibri"/>
        <family val="2"/>
        <scheme val="minor"/>
      </rPr>
      <t>A. Equipment</t>
    </r>
    <r>
      <rPr>
        <sz val="10.5"/>
        <rFont val="Calibri"/>
        <family val="2"/>
        <scheme val="minor"/>
      </rPr>
      <t xml:space="preserve"> asked FONDEQUIP for the maximum resources that it can contribute per project, for </t>
    </r>
    <r>
      <rPr>
        <b/>
        <sz val="10.5"/>
        <rFont val="Calibri"/>
        <family val="2"/>
        <scheme val="minor"/>
      </rPr>
      <t>$950.000.000</t>
    </r>
    <r>
      <rPr>
        <sz val="10.5"/>
        <rFont val="Calibri"/>
        <family val="2"/>
        <scheme val="minor"/>
      </rPr>
      <t xml:space="preserve">, you cannot request financing for the Sub-items of </t>
    </r>
    <r>
      <rPr>
        <b/>
        <sz val="10.5"/>
        <rFont val="Calibri"/>
        <family val="2"/>
        <scheme val="minor"/>
      </rPr>
      <t>B. Transfers and Installation.</t>
    </r>
  </si>
  <si>
    <r>
      <t xml:space="preserve">4.- The </t>
    </r>
    <r>
      <rPr>
        <b/>
        <sz val="10.5"/>
        <rFont val="Calibri"/>
        <family val="2"/>
        <scheme val="minor"/>
      </rPr>
      <t>Non-pecuniary contribution</t>
    </r>
    <r>
      <rPr>
        <sz val="10.5"/>
        <rFont val="Calibri"/>
        <family val="2"/>
        <scheme val="minor"/>
      </rPr>
      <t xml:space="preserve"> must be, at least, the equivalent of the percentage not financed by pecuniary contributions, necessary to meet the minimum of 50% of co-financing of the total amount of </t>
    </r>
    <r>
      <rPr>
        <b/>
        <sz val="10.5"/>
        <rFont val="Calibri"/>
        <family val="2"/>
        <scheme val="minor"/>
      </rPr>
      <t>A. Equipment</t>
    </r>
    <r>
      <rPr>
        <sz val="10.5"/>
        <rFont val="Calibri"/>
        <family val="2"/>
        <scheme val="minor"/>
      </rPr>
      <t>.</t>
    </r>
  </si>
  <si>
    <t>B</t>
  </si>
  <si>
    <t>Non-Pecuniary</t>
  </si>
  <si>
    <r>
      <rPr>
        <b/>
        <sz val="11"/>
        <color indexed="8"/>
        <rFont val="Calibri"/>
        <family val="2"/>
        <scheme val="minor"/>
      </rPr>
      <t>3.-</t>
    </r>
    <r>
      <rPr>
        <sz val="11"/>
        <color indexed="8"/>
        <rFont val="Calibri"/>
        <family val="2"/>
        <scheme val="minor"/>
      </rPr>
      <t xml:space="preserve"> Enter the </t>
    </r>
    <r>
      <rPr>
        <b/>
        <sz val="11"/>
        <color indexed="8"/>
        <rFont val="Calibri"/>
        <family val="2"/>
        <scheme val="minor"/>
      </rPr>
      <t>Total Pecuniary Contribution of the Institution(s)</t>
    </r>
    <r>
      <rPr>
        <sz val="11"/>
        <color indexed="8"/>
        <rFont val="Calibri"/>
        <family val="2"/>
        <scheme val="minor"/>
      </rPr>
      <t xml:space="preserve"> that make up the proposal (</t>
    </r>
    <r>
      <rPr>
        <sz val="11"/>
        <rFont val="Calibri"/>
        <family val="2"/>
        <scheme val="minor"/>
      </rPr>
      <t>Beneficiary</t>
    </r>
    <r>
      <rPr>
        <b/>
        <sz val="11"/>
        <color rgb="FFFF0000"/>
        <rFont val="Calibri"/>
        <family val="2"/>
        <scheme val="minor"/>
      </rPr>
      <t xml:space="preserve"> </t>
    </r>
    <r>
      <rPr>
        <sz val="11"/>
        <color indexed="8"/>
        <rFont val="Calibri"/>
        <family val="2"/>
        <scheme val="minor"/>
      </rPr>
      <t xml:space="preserve">and Associates). This must be equivalent to, at least, 10% of the amount of the </t>
    </r>
    <r>
      <rPr>
        <b/>
        <sz val="11"/>
        <color indexed="8"/>
        <rFont val="Calibri"/>
        <family val="2"/>
        <scheme val="minor"/>
      </rPr>
      <t>A. Equipment</t>
    </r>
    <r>
      <rPr>
        <sz val="11"/>
        <color indexed="8"/>
        <rFont val="Calibri"/>
        <family val="2"/>
        <scheme val="minor"/>
      </rPr>
      <t xml:space="preserve">. Must be </t>
    </r>
    <r>
      <rPr>
        <b/>
        <sz val="11"/>
        <color indexed="8"/>
        <rFont val="Calibri"/>
        <family val="2"/>
        <scheme val="minor"/>
      </rPr>
      <t>prioritize</t>
    </r>
    <r>
      <rPr>
        <sz val="11"/>
        <color indexed="8"/>
        <rFont val="Calibri"/>
        <family val="2"/>
        <scheme val="minor"/>
      </rPr>
      <t xml:space="preserve"> the sub-item</t>
    </r>
    <r>
      <rPr>
        <b/>
        <sz val="11"/>
        <color indexed="8"/>
        <rFont val="Calibri"/>
        <family val="2"/>
        <scheme val="minor"/>
      </rPr>
      <t xml:space="preserve"> C.2. Other Operating Expenses </t>
    </r>
    <r>
      <rPr>
        <b/>
        <i/>
        <sz val="11"/>
        <color indexed="8"/>
        <rFont val="Calibri"/>
        <family val="2"/>
        <scheme val="minor"/>
      </rPr>
      <t>(exclusively Contracting Personnel for the operation of the equipment),</t>
    </r>
    <r>
      <rPr>
        <sz val="11"/>
        <color indexed="8"/>
        <rFont val="Calibri"/>
        <family val="2"/>
        <scheme val="minor"/>
      </rPr>
      <t xml:space="preserve"> later </t>
    </r>
    <r>
      <rPr>
        <b/>
        <sz val="11"/>
        <color indexed="8"/>
        <rFont val="Calibri"/>
        <family val="2"/>
        <scheme val="minor"/>
      </rPr>
      <t>C.1. Trainings</t>
    </r>
    <r>
      <rPr>
        <sz val="11"/>
        <color indexed="8"/>
        <rFont val="Calibri"/>
        <family val="2"/>
        <scheme val="minor"/>
      </rPr>
      <t xml:space="preserve"> and, in case of not completing the required minimum 10%, enter the contribution in </t>
    </r>
    <r>
      <rPr>
        <b/>
        <sz val="11"/>
        <color indexed="8"/>
        <rFont val="Calibri"/>
        <family val="2"/>
        <scheme val="minor"/>
      </rPr>
      <t>A. Equipment</t>
    </r>
    <r>
      <rPr>
        <sz val="11"/>
        <color indexed="8"/>
        <rFont val="Calibri"/>
        <family val="2"/>
        <scheme val="minor"/>
      </rPr>
      <t xml:space="preserve"> (according to the provisions of the</t>
    </r>
    <r>
      <rPr>
        <b/>
        <sz val="11"/>
        <color rgb="FFFF0000"/>
        <rFont val="Calibri"/>
        <family val="2"/>
        <scheme val="minor"/>
      </rPr>
      <t xml:space="preserve"> </t>
    </r>
    <r>
      <rPr>
        <sz val="11"/>
        <rFont val="Calibri"/>
        <family val="2"/>
        <scheme val="minor"/>
      </rPr>
      <t>Guidelines</t>
    </r>
    <r>
      <rPr>
        <sz val="11"/>
        <color indexed="8"/>
        <rFont val="Calibri"/>
        <family val="2"/>
        <scheme val="minor"/>
      </rPr>
      <t>).-</t>
    </r>
  </si>
  <si>
    <r>
      <rPr>
        <b/>
        <sz val="11"/>
        <color indexed="8"/>
        <rFont val="Calibri"/>
        <family val="2"/>
        <scheme val="minor"/>
      </rPr>
      <t>5.-</t>
    </r>
    <r>
      <rPr>
        <sz val="11"/>
        <color indexed="8"/>
        <rFont val="Calibri"/>
        <family val="2"/>
        <scheme val="minor"/>
      </rPr>
      <t xml:space="preserve"> The</t>
    </r>
    <r>
      <rPr>
        <b/>
        <sz val="11"/>
        <color indexed="8"/>
        <rFont val="Calibri"/>
        <family val="2"/>
        <scheme val="minor"/>
      </rPr>
      <t xml:space="preserve"> Non-pecuniary contribution</t>
    </r>
    <r>
      <rPr>
        <sz val="11"/>
        <color indexed="8"/>
        <rFont val="Calibri"/>
        <family val="2"/>
        <scheme val="minor"/>
      </rPr>
      <t xml:space="preserve"> total of the Institutions that make up the proposal must be entered or broken down into</t>
    </r>
    <r>
      <rPr>
        <b/>
        <sz val="11"/>
        <rFont val="Calibri"/>
        <family val="2"/>
        <scheme val="minor"/>
      </rPr>
      <t xml:space="preserve"> items B. Transfers and Installation and C. Operation.-</t>
    </r>
  </si>
  <si>
    <t>1.- ENTER THE AMOUNT OF THE EQUIPMENT AND/OR ACCESSORIES</t>
  </si>
  <si>
    <r>
      <t xml:space="preserve">The </t>
    </r>
    <r>
      <rPr>
        <b/>
        <sz val="11"/>
        <rFont val="Calibri"/>
        <family val="2"/>
        <scheme val="minor"/>
      </rPr>
      <t>total</t>
    </r>
    <r>
      <rPr>
        <sz val="11"/>
        <rFont val="Calibri"/>
        <family val="2"/>
        <scheme val="minor"/>
      </rPr>
      <t xml:space="preserve"> of both Sub-items A.1. Main Equipment or Platform + A.2. Accessories, must be equal to or greater than </t>
    </r>
    <r>
      <rPr>
        <b/>
        <sz val="11"/>
        <rFont val="Calibri"/>
        <family val="2"/>
        <scheme val="minor"/>
      </rPr>
      <t>$400.000.000</t>
    </r>
    <r>
      <rPr>
        <sz val="11"/>
        <rFont val="Calibri"/>
        <family val="2"/>
        <scheme val="minor"/>
      </rPr>
      <t xml:space="preserve"> (Four hundred million pesos).</t>
    </r>
  </si>
  <si>
    <r>
      <t>The</t>
    </r>
    <r>
      <rPr>
        <b/>
        <sz val="11"/>
        <rFont val="Calibri"/>
        <family val="2"/>
        <scheme val="minor"/>
      </rPr>
      <t xml:space="preserve"> </t>
    </r>
    <r>
      <rPr>
        <sz val="11"/>
        <rFont val="Calibri"/>
        <family val="2"/>
        <scheme val="minor"/>
      </rPr>
      <t xml:space="preserve">total of the Pecuniary Contributions in </t>
    </r>
    <r>
      <rPr>
        <b/>
        <sz val="11"/>
        <rFont val="Calibri"/>
        <family val="2"/>
        <scheme val="minor"/>
      </rPr>
      <t xml:space="preserve">C.2. Other Operating Expenses </t>
    </r>
    <r>
      <rPr>
        <b/>
        <i/>
        <sz val="11"/>
        <rFont val="Calibri"/>
        <family val="2"/>
        <scheme val="minor"/>
      </rPr>
      <t>(exclusively for Personnel hiring for equipment operation)</t>
    </r>
    <r>
      <rPr>
        <sz val="11"/>
        <rFont val="Calibri"/>
        <family val="2"/>
        <scheme val="minor"/>
      </rPr>
      <t xml:space="preserve"> and/or </t>
    </r>
    <r>
      <rPr>
        <b/>
        <sz val="11"/>
        <rFont val="Calibri"/>
        <family val="2"/>
        <scheme val="minor"/>
      </rPr>
      <t>C.1. Training</t>
    </r>
    <r>
      <rPr>
        <sz val="11"/>
        <rFont val="Calibri"/>
        <family val="2"/>
        <scheme val="minor"/>
      </rPr>
      <t xml:space="preserve"> and/or </t>
    </r>
    <r>
      <rPr>
        <b/>
        <sz val="11"/>
        <rFont val="Calibri"/>
        <family val="2"/>
        <scheme val="minor"/>
      </rPr>
      <t>A.1 Main Equipment or Platform and/or A.2 Accessories</t>
    </r>
    <r>
      <rPr>
        <sz val="11"/>
        <rFont val="Calibri"/>
        <family val="2"/>
        <scheme val="minor"/>
      </rPr>
      <t xml:space="preserve">, cannot be less than </t>
    </r>
    <r>
      <rPr>
        <b/>
        <sz val="11"/>
        <rFont val="Calibri"/>
        <family val="2"/>
        <scheme val="minor"/>
      </rPr>
      <t>10%</t>
    </r>
    <r>
      <rPr>
        <sz val="11"/>
        <rFont val="Calibri"/>
        <family val="2"/>
        <scheme val="minor"/>
      </rPr>
      <t xml:space="preserve"> of the Total Amount of </t>
    </r>
    <r>
      <rPr>
        <b/>
        <sz val="11"/>
        <rFont val="Calibri"/>
        <family val="2"/>
        <scheme val="minor"/>
      </rPr>
      <t>A. EQUIPMENT</t>
    </r>
    <r>
      <rPr>
        <sz val="11"/>
        <rFont val="Calibri"/>
        <family val="2"/>
        <scheme val="minor"/>
      </rPr>
      <t>. 
FONDEQUIP finances up to</t>
    </r>
    <r>
      <rPr>
        <b/>
        <sz val="11"/>
        <rFont val="Calibri"/>
        <family val="2"/>
        <scheme val="minor"/>
      </rPr>
      <t xml:space="preserve"> $950.000.000</t>
    </r>
    <r>
      <rPr>
        <sz val="11"/>
        <rFont val="Calibri"/>
        <family val="2"/>
        <scheme val="minor"/>
      </rPr>
      <t xml:space="preserve"> (Nine hundred and fifty million pesos), </t>
    </r>
    <r>
      <rPr>
        <b/>
        <sz val="11"/>
        <rFont val="Calibri"/>
        <family val="2"/>
        <scheme val="minor"/>
      </rPr>
      <t>if there is a difference</t>
    </r>
    <r>
      <rPr>
        <sz val="11"/>
        <rFont val="Calibri"/>
        <family val="2"/>
        <scheme val="minor"/>
      </rPr>
      <t xml:space="preserve"> due to a higher cost of the equipment, </t>
    </r>
    <r>
      <rPr>
        <b/>
        <sz val="11"/>
        <rFont val="Calibri"/>
        <family val="2"/>
        <scheme val="minor"/>
      </rPr>
      <t>it must be assumed by the Institutions</t>
    </r>
    <r>
      <rPr>
        <sz val="11"/>
        <rFont val="Calibri"/>
        <family val="2"/>
        <scheme val="minor"/>
      </rPr>
      <t>.</t>
    </r>
  </si>
  <si>
    <r>
      <t xml:space="preserve"> C.2. Other Operating Expenses </t>
    </r>
    <r>
      <rPr>
        <b/>
        <i/>
        <sz val="11"/>
        <color theme="1" tint="0.249977111117893"/>
        <rFont val="Calibri"/>
        <family val="2"/>
        <scheme val="minor"/>
      </rPr>
      <t>(consumables, supplies, etc., which are not considered for the 10%)</t>
    </r>
  </si>
  <si>
    <t>Once the amount of the Equipment has been entered, enter the Institutional Cash Contribution, which cannot be less than 10% of the equivalent to the amount of A. Equipment.- 
Remember to prioritize the contribution in the item OPERATING EXPENSES: 
1°.- C.2. Other Operating Expenses (hiring of personnel for the operation of the equipment).- 
2°.- C.1. Training.- 
3°.- A. Equipment (in case of not reaching 10% in the previous items or when the amount requested in Equipment exceeds $950.000.000).-</t>
  </si>
  <si>
    <t>Enter the total amount of the Main Equipment or Platform and/or Accessories. The verification box must be in GREEN color, to continue with the Institutional Pecuniary Contribution.-</t>
  </si>
  <si>
    <t>3. ENTER THE AMOUNT FOR THE SUB-ITEMS OF B. TRANSFERS AND INSTALLATION AND C. OPERATING EXPENSES IN THE CORRESPONDING CELLS</t>
  </si>
  <si>
    <t>OPERATING EXPENSES</t>
  </si>
  <si>
    <t>DETALLE ÍTEMS</t>
  </si>
  <si>
    <t>RENDICIÓN DE CUENTAS</t>
  </si>
  <si>
    <t>PECUNIARIO</t>
  </si>
  <si>
    <t>TOTALES RENDICIÓN DE CUENTAS</t>
  </si>
  <si>
    <t>COTIZACIÓN POSTULACIÓN</t>
  </si>
  <si>
    <t>COTIZACIÓN ACTUALIZADA</t>
  </si>
  <si>
    <t>Tipo de cambio</t>
  </si>
  <si>
    <r>
      <t>C.2. Other Operating Expenses (</t>
    </r>
    <r>
      <rPr>
        <b/>
        <i/>
        <sz val="11"/>
        <rFont val="Calibri"/>
        <family val="2"/>
        <scheme val="minor"/>
      </rPr>
      <t>exclusively for Personnel hiring for equipment operation)</t>
    </r>
  </si>
  <si>
    <t>If there are cells with RED alerts, it means that your budget does not comply with the rules established by the Guidelines (Inadmissible).-</t>
  </si>
  <si>
    <r>
      <rPr>
        <b/>
        <sz val="11"/>
        <color indexed="8"/>
        <rFont val="Calibri"/>
        <family val="2"/>
        <scheme val="minor"/>
      </rPr>
      <t>2.-</t>
    </r>
    <r>
      <rPr>
        <sz val="11"/>
        <color indexed="8"/>
        <rFont val="Calibri"/>
        <family val="2"/>
        <scheme val="minor"/>
      </rPr>
      <t xml:space="preserve"> It must be entered, first, in the Sheet </t>
    </r>
    <r>
      <rPr>
        <b/>
        <sz val="11"/>
        <color indexed="8"/>
        <rFont val="Calibri"/>
        <family val="2"/>
        <scheme val="minor"/>
      </rPr>
      <t>I. EQUIPMENT</t>
    </r>
    <r>
      <rPr>
        <sz val="11"/>
        <color indexed="8"/>
        <rFont val="Calibri"/>
        <family val="2"/>
        <scheme val="minor"/>
      </rPr>
      <t xml:space="preserve"> the amount of</t>
    </r>
    <r>
      <rPr>
        <b/>
        <sz val="11"/>
        <color indexed="8"/>
        <rFont val="Calibri"/>
        <family val="2"/>
        <scheme val="minor"/>
      </rPr>
      <t xml:space="preserve"> A.1. Main Equipment or Platform and A.2. Accessories</t>
    </r>
    <r>
      <rPr>
        <sz val="11"/>
        <rFont val="Calibri"/>
        <family val="2"/>
        <scheme val="minor"/>
      </rPr>
      <t xml:space="preserve"> if it's appropriate</t>
    </r>
    <r>
      <rPr>
        <sz val="11"/>
        <color indexed="8"/>
        <rFont val="Calibri"/>
        <family val="2"/>
        <scheme val="minor"/>
      </rPr>
      <t xml:space="preserve">. The sum of these amounts cannot be less than </t>
    </r>
    <r>
      <rPr>
        <b/>
        <sz val="11"/>
        <color indexed="8"/>
        <rFont val="Calibri"/>
        <family val="2"/>
        <scheme val="minor"/>
      </rPr>
      <t>$400.000.000.- (four hundred million pesos)</t>
    </r>
    <r>
      <rPr>
        <sz val="11"/>
        <color indexed="8"/>
        <rFont val="Calibri"/>
        <family val="2"/>
        <scheme val="minor"/>
      </rPr>
      <t>.-</t>
    </r>
  </si>
  <si>
    <t>JUSTIFY BUDGET REQUESTED IN A. EQUIPMENT</t>
  </si>
  <si>
    <t>A.1. Main Equipment</t>
  </si>
  <si>
    <t>A.1. Platform - Equipment 1</t>
  </si>
  <si>
    <t>A.1. Platform - Equipment 2</t>
  </si>
  <si>
    <t>A.1. Platform - Equipment 3</t>
  </si>
  <si>
    <t>A.1. Platform - Equipment 4</t>
  </si>
  <si>
    <t>A.1. Platform - Equipment 5</t>
  </si>
  <si>
    <t>A.1. Platform - Equipment 6</t>
  </si>
  <si>
    <t>A.1. Platform - Equipment 7</t>
  </si>
  <si>
    <t>Total $</t>
  </si>
  <si>
    <t>A.1. Platform - Equipment 8</t>
  </si>
  <si>
    <t>A.1. Platform - Equipment 9</t>
  </si>
  <si>
    <t>A.1. Platform - Equipment 10</t>
  </si>
  <si>
    <r>
      <rPr>
        <b/>
        <sz val="11"/>
        <rFont val="Calibri"/>
        <family val="2"/>
        <scheme val="minor"/>
      </rPr>
      <t>8.-</t>
    </r>
    <r>
      <rPr>
        <sz val="11"/>
        <rFont val="Calibri"/>
        <family val="2"/>
        <scheme val="minor"/>
      </rPr>
      <t xml:space="preserve"> On the sheet </t>
    </r>
    <r>
      <rPr>
        <b/>
        <sz val="11"/>
        <rFont val="Calibri"/>
        <family val="2"/>
        <scheme val="minor"/>
      </rPr>
      <t xml:space="preserve">DETAILS CONTRIBUTIONS </t>
    </r>
    <r>
      <rPr>
        <sz val="11"/>
        <rFont val="Calibri"/>
        <family val="2"/>
        <scheme val="minor"/>
      </rPr>
      <t>enter the contributions of the Institutions, Beneficiary and Associates, to COMPLETE the total contributions entered in the Sheet</t>
    </r>
    <r>
      <rPr>
        <b/>
        <sz val="11"/>
        <rFont val="Calibri"/>
        <family val="2"/>
        <scheme val="minor"/>
      </rPr>
      <t xml:space="preserve"> II. TRANSFERS, INST. OPERATION</t>
    </r>
    <r>
      <rPr>
        <sz val="11"/>
        <rFont val="Calibri"/>
        <family val="2"/>
        <scheme val="minor"/>
      </rPr>
      <t>.-</t>
    </r>
  </si>
  <si>
    <t>RECORD OF QUOTES</t>
  </si>
  <si>
    <t>SUBMITTED QUOTE FOR MAIN EQUIPMENT</t>
  </si>
  <si>
    <t>SUBMITTED QUOTES FOR PLATFORM</t>
  </si>
  <si>
    <r>
      <t>1.- The QUOTES Sheet must be completed with the</t>
    </r>
    <r>
      <rPr>
        <b/>
        <sz val="11"/>
        <rFont val="Calibri"/>
        <family val="2"/>
        <scheme val="minor"/>
      </rPr>
      <t xml:space="preserve"> values</t>
    </r>
    <r>
      <rPr>
        <sz val="11"/>
        <rFont val="Calibri"/>
        <family val="2"/>
        <scheme val="minor"/>
      </rPr>
      <t xml:space="preserve"> of </t>
    </r>
    <r>
      <rPr>
        <b/>
        <sz val="11"/>
        <rFont val="Calibri"/>
        <family val="2"/>
        <scheme val="minor"/>
      </rPr>
      <t>Equipment, Platform and/or Accessories</t>
    </r>
    <r>
      <rPr>
        <sz val="11"/>
        <rFont val="Calibri"/>
        <family val="2"/>
        <scheme val="minor"/>
      </rPr>
      <t>, with or without VAT, according to the quotes presented in the application, following the indicated instructions.- 
2.- In the case of Platforms that</t>
    </r>
    <r>
      <rPr>
        <b/>
        <sz val="11"/>
        <rFont val="Calibri"/>
        <family val="2"/>
        <scheme val="minor"/>
      </rPr>
      <t xml:space="preserve"> </t>
    </r>
    <r>
      <rPr>
        <sz val="11"/>
        <rFont val="Calibri"/>
        <family val="2"/>
        <scheme val="minor"/>
      </rPr>
      <t>have</t>
    </r>
    <r>
      <rPr>
        <b/>
        <sz val="11"/>
        <rFont val="Calibri"/>
        <family val="2"/>
        <scheme val="minor"/>
      </rPr>
      <t xml:space="preserve"> </t>
    </r>
    <r>
      <rPr>
        <sz val="11"/>
        <rFont val="Calibri"/>
        <family val="2"/>
        <scheme val="minor"/>
      </rPr>
      <t xml:space="preserve">more than one quote, the individual values should be entered into each corresponding cell in the "SUBMITTED OFFERS FOR PLATFORM" section.
3.- The Quotation must correspond to the </t>
    </r>
    <r>
      <rPr>
        <b/>
        <sz val="11"/>
        <rFont val="Calibri"/>
        <family val="2"/>
        <scheme val="minor"/>
      </rPr>
      <t>same configuration of the postulated equipment</t>
    </r>
    <r>
      <rPr>
        <sz val="11"/>
        <rFont val="Calibri"/>
        <family val="2"/>
        <scheme val="minor"/>
      </rPr>
      <t>.-  
4.-</t>
    </r>
    <r>
      <rPr>
        <b/>
        <sz val="11"/>
        <rFont val="Calibri"/>
        <family val="2"/>
        <scheme val="minor"/>
      </rPr>
      <t xml:space="preserve"> Justify the choice </t>
    </r>
    <r>
      <rPr>
        <sz val="11"/>
        <rFont val="Calibri"/>
        <family val="2"/>
        <scheme val="minor"/>
      </rPr>
      <t>of the</t>
    </r>
    <r>
      <rPr>
        <b/>
        <sz val="11"/>
        <rFont val="Calibri"/>
        <family val="2"/>
        <scheme val="minor"/>
      </rPr>
      <t xml:space="preserve"> Supplier </t>
    </r>
    <r>
      <rPr>
        <sz val="11"/>
        <rFont val="Calibri"/>
        <family val="2"/>
        <scheme val="minor"/>
      </rPr>
      <t>/ Quotation.- 
5.- Use the values established as the exchange rate.-</t>
    </r>
  </si>
  <si>
    <t>1.- Complete only the cells in LIGHT BLUE color. 
2.- Enter the amount of the Equipment, Platform and Accessory(s) indicated in the quote respective, may or may not consider VAT.- You can use the field "SUBMITTED QUOTE FOR MAIN EQUIPMENT" or "SUBMITTED QUOTES FOR PLATFORM"
3.- The Equipment quote indicated here must be the same ones attached to the Application Platform (FORMULATION Stage / quote) and correspond to the same configuration of the postulated equipment.-
4.- In the field "JUSTIFY BUDGET REQUESTED IN A. EQUIPMENT" you must to justify the choice of the postulated equipment, the specific supplier and with respect to the similar technology available on the market.-
5.- You must attach the justification from the Responsible Coordinator of why the equipment of that specific supplier is chosen and not another or another technology available in the market. If there are similar equipment on the market, they must be analyzed and justify why they are not considered suitable for the project. In addition, the justification must include aspects such as guarantees, technical services, the ability to carry out maintenance and after-sales service.-</t>
  </si>
  <si>
    <t>Supplier Name</t>
  </si>
  <si>
    <t>ULTRAFAST SYSTEMS</t>
  </si>
  <si>
    <t>NON-PECUNIARY: A non-pecuniary contribution of $20,676,000 by UNAB is considered for carrying out a four days theorical and experimental workshop for the training of the 26 students or academics, potential users of the equipment (3 students x 7 associated institution + 5 students or academics from UNAB). The estimation considers the use of the conference room ($425,000 CLP/day), technological support ($285,000 CLP/day) and typical fee of international short-courses that include practical add-on (like PicoQuant, $700 EUR/person, https://www.picoquant.com/events/details/fluorescence-course#description, $700 EUR/person x 26 people x 980 CLP/EUR =  $17,836,000 CLP). It is expected that the travel expenses of students from Institutions out of Santiago will be covered by the associated projects which supports and are linked to this proposal.</t>
  </si>
  <si>
    <t>Amounts contributed by the PONTIFICIA UNIVERSIDAD CATOLICA</t>
  </si>
  <si>
    <t>Amounts contributed by the UNIVERSIDAD DE CHILE</t>
  </si>
  <si>
    <t>Amounts contributed by the UNIVERSIDAD DE SANTIAGO</t>
  </si>
  <si>
    <t>Amounts contributed by the UNIVERSIDAD DE CONCEPCION</t>
  </si>
  <si>
    <t>Amounts contributed by the UNIVERSIDAD DE TALCA</t>
  </si>
  <si>
    <t>Amounts contributed by the  UNIVERSIDAD DE CATOLICA DEL NORTE</t>
  </si>
  <si>
    <t>Amounts contributed by the PONTIFICIA UNIVERSIDAD CATOLICA DE VALPARAISO</t>
  </si>
  <si>
    <t>UE23-6984</t>
  </si>
  <si>
    <t>FONDEQUIP: A total of $158,573,338 CLP are requested to FONDEQUIP for covering the VAT (19%). The Value Added Tax, VAT or IVA, is $140,109,705 (19% over the equipment cost plus the transfer and insurance cost). The cost of transfer and transfer insurance included in quote No. UE23-6984 is USD$9,500 x $900 CLP/USD = $8,550,000 CLP. The customs clearance expenses are $9,913,633 CLP (This cost is estimated by customs broker (https://www.ececconi.cl/)).</t>
  </si>
  <si>
    <t>FONDEQUIP: A total of $12,110,000 are requested to FONDEQUIP for covering the initial supplies for the starting-up of the equipment ($2,400,000 for spectroscopic solvents, $1,700,000 for quartz cuvettes and $4,500,000 for Fluorescence Flow Through Cell with peristaltic pump, $1,860,000 for ultrapure gases: argon, nitrogen and oxygen), and $150.000 for the acrylic or metal plate of the project. This amount also considers the purchase process expenses (wire transfer cost of $1,500,000 CLP). It must be remarked that, once the equipment will be in use, all the incomes will be spent in supplies and future maintenances of the equipment, which makes its operation viable in the medium and long term.</t>
  </si>
  <si>
    <t>FONDEQUIP: A total of $39,251,090 CLP are requested to FONDEQUIP for covering the purchase and installation of an L-shape optical table (or two tables), which is a technical requirement for optimum performance of the equipment avoiding vibrations (even small earthquakes). Estimated cost: USD$35,930.40 x $900 CLP/USD$ x 1.19 IVA + customs clearance expenses = $38,681,110 CLP (please see attached quote). This amount also considers the purchase and installation of an air conditioner and two dehumidifiers (please see attached quotes), in order to maintain the room temperature at 22°C with the humidity below 60% (technical requirements).
NON-PECUNIARY: A non-pecuniary contribution of $10,000,000 CLP by the PI (UNAB) is estimated for adapting the existing space. This amount considers removing the existing furniture, thermic isolation with panel or wall (in blue), air condition installation, blackout window (please see attached quote). The adaptation also considers having at least 2 UPS (5 KWH and 1 hour backup for the laser chiller and dehumidifiers), which will prevent electric failures and with enough time backup, in order to permit connecting to the emergency electric net. It is also necessary the installation of a laboratory gas pipeline to connect ultrapure gases (nitrogen, argon, oxygen), which are commonly used in photophysical measurements. The connection to the emergency electric network (industrial electric generator) and independent switchboard with 25 A three-phase current, adaptation to connections to water networks and high-impact level floor covering are considered as additional non-pecuniary contribution of $5,000,000 CLP by the PI (UNAB).</t>
  </si>
  <si>
    <t>Indicate the reasons for choosing the corresponding Supplier/Quote: 
1.- The Ultrafast Systems Supplier is the only one that has this type of compact and fully automated equipment or platform that allows laser-induced transient emission (HALCYONE Spectrometer) and absorption measurements (HELIOS-EOS Spectrometer) in the femtosecond temporal scale. The equipment has a patented automated system for aligning the excitation beam from the laser, which constitutes a unique advantage given the difficulty of the optics involved in this kind of equipment compared to other systems normally assembled by parts (home-made). The Ytterbium laser excitation source (HYPERION) coupled to an optical parametric amplifier (OPA - APOLLO-Y), allows to obtain a wide range of excitation wavelengths (258 nm - 1300 nm) and short pulses in the range of 190 to 300 fs. These characteristics allow time-resolved emission detection on the femtosecond scale in a spectral range from 270 nm to 1600 nm. On the other hand and complementary, it also allows the absorption of transients (excited species or short-lived species) on the femtosecond time scale and in the spectral range from 270 nm to 1600 nm. The luminescence spectrometer coupled to detectors with the TCSPC technique and with a CCD camera also allows direct emission to be measured or to have a complete emission spectrum with very good spectral resolution, in a longer time window (nanoseconds). 
2.- Compact and automated. Considering the critical issue of getting spaces to operate or install new equipment, the dimensions of this set of excitation source (laser-OPA) and spectrometers are very advantageous since it will allow to be located on an optical table (1.5 m x 3.0 m) in the adapted laboratory. Automation is extremely relevant considering the necessary optics and alignment of the excitation beam coming from the laser. The software completely controls the equipment (alignment, choose of detection mode, data acquisition).
3.- Versatile: the possibility of simultaneously measuring the absorption and emission of transients upon excitation on a femtosecond time scale with parameter adjustment such as automated excitation beam alignment, gives it unique characteristics that prevent misalignments and allows to unequivocally identify the states or excited species.
4.- Wide excitation range of samples. The Ytterbium pulsed laser included in the equipment will be coupled to an optical parametric amplifier (OPA) system, which will allow to excite samples in the entire UV-Vis-NIR range (270 to 1600 nm) with good power and frequency of variable repetition.
5.- Warranties and Maintenance. The Ultrafast Systems Supplier includes the first year of warranty in the quotation No. UE23-6984, while the second year will be purchased (Warranty Gold). The maintenance visits will be scheduled at the time of the purchase process of the equipment.
6.- It must be remarked that the total price of each component includes the total discount offered by the Ultrafast Systems Supplier (10% plus USD$100,000.00 of total discount, please see at the end of the quotation UE23-6984). 
7.- Please see the attached justification and letter of exclusivity from the supplier.</t>
  </si>
  <si>
    <t>FONDEQUIP: A total of $11,196,000 are requested to FONDEQUIP for covering the first maintenance visit including the airfare tickets (at the end of year 2). Estimated cost based on quote No. UE23-6984 ($ 8,400,000 CLP x 1.19 (IVA) plus air ticket $1,200,000 CLP).
PECUNIARY: A pecuniary contribution of $64,666,980 CLP is considered by UNAB in order to cover the additional 12-month warranty extension (Warranty Gold for each component), because the first year is included in quote UE23-6984. The total cost is estimated as USD$60,380.00 x $900 CLP/USD$ = $54,342,000 CLP plus VAT ($10,324,980 CLP). In addition, a pecuniary contribution of $11,196,000 CLP by UNAB is considered in order to cover a second maintenance visit including the airfare tickets (at the end of year 4). Estimated cost based on quote No. UE23-6984 ($ 8,400,000 CLP x 1.19 (IVA) plus air ticket $1,200,000 CLP).
NON-PECUNIARY: The existing insurance of the facilities (Aon, Commercial Risk Solutions) is considered as non-pecuniary contribution of $2,160,000 CLP by the PI (UNAB) ($45,000 CLP/month x 48 months). In addition, the increase of the institutional insurance policy for contingencies affecting the equipment is also considered as non-pecuniary contribution by UNAB (0.179% of the equipment value/year x 3.5 years = $5,444,155 CLP). Total of non-pecuniary contribution of $7,604,155 CLP.</t>
  </si>
  <si>
    <t>PECUNIARY: A pecuniary contribution of $81,600,000 CLP ($1,700,000 CLP/month x 48 months) by the PI (UNAB) is considered in order to hire a technical operator or specialized professional (professional title of Chemist, PhD, postdoctoral level or similar), who will be selected by a committee conformed for the applicant research team and other invited academics. The technical operator will be hired from the beginning of the proposal adjudication, in order to help with all the administrative work and starting with his(her) training.
NON-PECUNIARY: A non-pecuniary contribution of $10,080,000 CLP by UNAB is attributed to the electrical consume due to the 24 hours continuous operation of the air condition and the 2 UPS (laser chiller and dehumidifiers), estimated cost of $420,000 CLP/month x 24 months). In addition, the cost of the existing space located in Santiago downtown (50 m2) is estimated to be $88,413,768 CLP (1.0 UF/(m2 x month) x 50 m2 x 48 months = 2,400 UF x $36,839.07 CLP/UF). UF value at january 2024, https://si3.bcentral.cl/indicadoressiete/secure/indicadoresdiarios.aspx. It is also considered as non-pecuniary contribution, the special cleaning service of the laboratory by professional staff with current contract in the principal institution (2 personels x $ 550,000 CLP/month x 24 months x 10% = $2,640,000 CLP). A non-pecuniary contribution of $4,800,000 CLP by UNAB is attributed to the administrative executive with a current contract in the institution, who will be in charge of all billing internal processes and project accountability during the second time of execution of the project ($2,000,000 CLP/month x 24 months x 10% = $4,800,000). A non-pecuniary contribution of $16,200,000 CLP by UNAB is considered due to the time assessment of the main researcher who will participate directly during the second time of execution of the project (training task, teaching special courses, diffusion activities, full professor salary of $4,500,000 x 24 meses x 15% = $ 16,200,000). The estimation considers the salary of a full professor with current contract at the institution (full professor salary estimated from website of Universidad de Chile, Facultad de Ciencias Químicas y Farmacéuticas: http://web.uchile.cl/transparencia/p0421vwxyz.html). Finally, a non-pecuniary contribution of $10,800,000 CLP by the 7 Associated Institutions is considerer due to the use of complementary infrastructure that will be necessary for the best performance of the requested equipment ($50,000.00 CLP/month x 24 months = $1,200,000 x 6 = $7,200,000 + USACH will contribute with additional infrastructure (space and equipment) in order to prepare samples previously to perform measurements at the requested equipment, $150,000.00 CLP/month x 24 months = $3,600,000).</t>
  </si>
  <si>
    <t>NON-PECUNIARY: A non-pecuniary contribution of $9,600,000 CLP by UNAB is attributed to the administrative executive with a current contract in the institution, who will be in charge of all purchase processes and project accountability of the first step of the execution of the project ($2,000,000 x 24 months x 20% = $9,600,000). In addition, a non-pecuniary contribution of $14,100,000 CLP by the Associate Institutions (UCH, USACH, UdeC, UCN, PUCV, UTALCA and PUC) is considered due to the time assessment of the associate researchers who will participate directly in the first step of execution of the project (purchase process, hire of the technical operator, Installation and start-up, training, 6 associate researchers x $3,000,000 x 24 month x 2.5% = $10,800,000, associate professor salary estimated from website of Universidad de Chile, Facultad de Ciencias Químicas y Farmacéuticas: http://web.uchile.cl/transparencia/p0421vwxyz.html. USACH has the special situation that Dra. Carolina Aliaga is a full professor with a long experience in photophysical experiments, then her contribution will be $3,300,000 during the first 24 months). Also, a non-pecuniary contribution of $21,600,000 CLP by UNAB is considered due to the time assessment of the main researcher who will in charge directly during the first time of execution of the project (purchase process, hire of the technical operator, Installation and start-up, training, full professor x $4,500,000 x 24 month x 20% = $ 21,600,000).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</si>
</sst>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 #,##0_-;\-&quot;$&quot;\ * #,##0_-;_-&quot;$&quot;\ * &quot;-&quot;??_-;_-@_-"/>
    <numFmt numFmtId="169" formatCode="_-* #,##0.00_-;\-* #,##0.00_-;_-* &quot;-&quot;_-;_-@_-"/>
  </numFmts>
  <fonts count="57" x14ac:knownFonts="1">
    <font>
      <sz val="11"/>
      <color theme="1"/>
      <name val="Calibri"/>
      <family val="2"/>
      <scheme val="minor"/>
    </font>
    <font>
      <b/>
      <sz val="9"/>
      <color indexed="81"/>
      <name val="Tahoma"/>
      <family val="2"/>
    </font>
    <font>
      <sz val="11"/>
      <color theme="1"/>
      <name val="Calibri"/>
      <family val="2"/>
      <scheme val="minor"/>
    </font>
    <font>
      <sz val="9"/>
      <color indexed="81"/>
      <name val="Tahoma"/>
      <family val="2"/>
    </font>
    <font>
      <sz val="11"/>
      <color indexed="8"/>
      <name val="Calibri"/>
      <family val="2"/>
      <scheme val="minor"/>
    </font>
    <font>
      <b/>
      <sz val="11"/>
      <color indexed="8"/>
      <name val="Calibri"/>
      <family val="2"/>
      <scheme val="minor"/>
    </font>
    <font>
      <b/>
      <sz val="1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b/>
      <u/>
      <sz val="11"/>
      <color theme="0"/>
      <name val="Calibri"/>
      <family val="2"/>
      <scheme val="minor"/>
    </font>
    <font>
      <b/>
      <sz val="11"/>
      <color theme="0"/>
      <name val="Calibri"/>
      <family val="2"/>
      <scheme val="minor"/>
    </font>
    <font>
      <b/>
      <u/>
      <sz val="11"/>
      <color theme="1"/>
      <name val="Calibri"/>
      <family val="2"/>
      <scheme val="minor"/>
    </font>
    <font>
      <sz val="12"/>
      <color theme="1"/>
      <name val="Calibri"/>
      <family val="2"/>
      <scheme val="minor"/>
    </font>
    <font>
      <b/>
      <u/>
      <sz val="16"/>
      <color theme="0"/>
      <name val="Calibri"/>
      <family val="2"/>
      <scheme val="minor"/>
    </font>
    <font>
      <sz val="16"/>
      <color theme="1"/>
      <name val="Calibri"/>
      <family val="2"/>
      <scheme val="minor"/>
    </font>
    <font>
      <b/>
      <sz val="14"/>
      <color theme="0"/>
      <name val="Calibri"/>
      <family val="2"/>
      <scheme val="minor"/>
    </font>
    <font>
      <sz val="10"/>
      <name val="Calibri"/>
      <family val="2"/>
      <scheme val="minor"/>
    </font>
    <font>
      <b/>
      <sz val="10"/>
      <name val="Calibri"/>
      <family val="2"/>
      <scheme val="minor"/>
    </font>
    <font>
      <sz val="11"/>
      <color theme="0"/>
      <name val="Calibri"/>
      <family val="2"/>
      <scheme val="minor"/>
    </font>
    <font>
      <sz val="9"/>
      <name val="Calibri"/>
      <family val="2"/>
      <scheme val="minor"/>
    </font>
    <font>
      <b/>
      <sz val="9"/>
      <name val="Calibri"/>
      <family val="2"/>
      <scheme val="minor"/>
    </font>
    <font>
      <sz val="9"/>
      <color theme="0"/>
      <name val="Calibri"/>
      <family val="2"/>
      <scheme val="minor"/>
    </font>
    <font>
      <b/>
      <sz val="12"/>
      <color theme="0"/>
      <name val="Calibri"/>
      <family val="2"/>
      <scheme val="minor"/>
    </font>
    <font>
      <sz val="10.5"/>
      <name val="Calibri"/>
      <family val="2"/>
      <scheme val="minor"/>
    </font>
    <font>
      <b/>
      <sz val="10.5"/>
      <name val="Calibri"/>
      <family val="2"/>
      <scheme val="minor"/>
    </font>
    <font>
      <sz val="10.5"/>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3" tint="-0.249977111117893"/>
      <name val="Calibri"/>
      <family val="2"/>
      <scheme val="minor"/>
    </font>
    <font>
      <sz val="11"/>
      <color theme="3" tint="-0.249977111117893"/>
      <name val="Calibri"/>
      <family val="2"/>
      <scheme val="minor"/>
    </font>
    <font>
      <sz val="18"/>
      <color theme="1"/>
      <name val="Calibri"/>
      <family val="2"/>
      <scheme val="minor"/>
    </font>
    <font>
      <b/>
      <i/>
      <sz val="10"/>
      <color theme="1"/>
      <name val="Calibri"/>
      <family val="2"/>
      <scheme val="minor"/>
    </font>
    <font>
      <b/>
      <sz val="10.5"/>
      <color theme="0"/>
      <name val="Calibri"/>
      <family val="2"/>
      <scheme val="minor"/>
    </font>
    <font>
      <b/>
      <sz val="10.5"/>
      <color theme="1"/>
      <name val="Calibri"/>
      <family val="2"/>
      <scheme val="minor"/>
    </font>
    <font>
      <sz val="10.5"/>
      <color theme="0"/>
      <name val="Calibri"/>
      <family val="2"/>
      <scheme val="minor"/>
    </font>
    <font>
      <b/>
      <sz val="9"/>
      <color rgb="FFC00000"/>
      <name val="Calibri"/>
      <family val="2"/>
      <scheme val="minor"/>
    </font>
    <font>
      <b/>
      <sz val="10.5"/>
      <color rgb="FFFF0000"/>
      <name val="Calibri"/>
      <family val="2"/>
      <scheme val="minor"/>
    </font>
    <font>
      <b/>
      <sz val="16"/>
      <color theme="0"/>
      <name val="Calibri"/>
      <family val="2"/>
      <scheme val="minor"/>
    </font>
    <font>
      <b/>
      <i/>
      <sz val="11"/>
      <color indexed="8"/>
      <name val="Calibri"/>
      <family val="2"/>
      <scheme val="minor"/>
    </font>
    <font>
      <sz val="11"/>
      <name val="Calibri"/>
      <family val="2"/>
      <scheme val="minor"/>
    </font>
    <font>
      <sz val="10"/>
      <color theme="0"/>
      <name val="Calibri"/>
      <family val="2"/>
      <scheme val="minor"/>
    </font>
    <font>
      <b/>
      <sz val="10"/>
      <color rgb="FF000000"/>
      <name val="Calibri"/>
      <family val="2"/>
      <scheme val="minor"/>
    </font>
    <font>
      <sz val="10.5"/>
      <color rgb="FF000000"/>
      <name val="Calibri"/>
      <family val="2"/>
      <scheme val="minor"/>
    </font>
    <font>
      <b/>
      <sz val="11"/>
      <color rgb="FFFF0000"/>
      <name val="Calibri"/>
      <family val="2"/>
      <scheme val="minor"/>
    </font>
    <font>
      <b/>
      <sz val="10"/>
      <color rgb="FFC00000"/>
      <name val="Calibri"/>
      <family val="2"/>
      <scheme val="minor"/>
    </font>
    <font>
      <b/>
      <i/>
      <sz val="11"/>
      <name val="Calibri"/>
      <family val="2"/>
      <scheme val="minor"/>
    </font>
    <font>
      <b/>
      <sz val="11"/>
      <color theme="1" tint="0.249977111117893"/>
      <name val="Calibri"/>
      <family val="2"/>
      <scheme val="minor"/>
    </font>
    <font>
      <b/>
      <i/>
      <sz val="11"/>
      <color theme="1" tint="0.249977111117893"/>
      <name val="Calibri"/>
      <family val="2"/>
      <scheme val="minor"/>
    </font>
    <font>
      <b/>
      <sz val="12"/>
      <color theme="1" tint="0.249977111117893"/>
      <name val="Calibri"/>
      <family val="2"/>
      <scheme val="minor"/>
    </font>
    <font>
      <b/>
      <sz val="11"/>
      <color rgb="FFC00000"/>
      <name val="Calibri"/>
      <family val="2"/>
      <scheme val="minor"/>
    </font>
    <font>
      <sz val="12"/>
      <name val="Calibri"/>
      <family val="2"/>
      <scheme val="minor"/>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206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B8CCE4"/>
        <bgColor rgb="FF000000"/>
      </patternFill>
    </fill>
    <fill>
      <patternFill patternType="solid">
        <fgColor rgb="FFFFFFFF"/>
        <bgColor rgb="FF000000"/>
      </patternFill>
    </fill>
    <fill>
      <patternFill patternType="solid">
        <fgColor rgb="FF99CC00"/>
        <bgColor indexed="64"/>
      </patternFill>
    </fill>
    <fill>
      <patternFill patternType="solid">
        <fgColor rgb="FFCCFF33"/>
        <bgColor indexed="64"/>
      </patternFill>
    </fill>
  </fills>
  <borders count="148">
    <border>
      <left/>
      <right/>
      <top/>
      <bottom/>
      <diagonal/>
    </border>
    <border>
      <left/>
      <right style="thin">
        <color indexed="64"/>
      </right>
      <top/>
      <bottom/>
      <diagonal/>
    </border>
    <border>
      <left style="thin">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0"/>
      </bottom>
      <diagonal/>
    </border>
    <border>
      <left/>
      <right style="thick">
        <color theme="0"/>
      </right>
      <top/>
      <bottom style="thick">
        <color theme="0"/>
      </bottom>
      <diagonal/>
    </border>
    <border>
      <left style="double">
        <color theme="3" tint="-0.24994659260841701"/>
      </left>
      <right/>
      <top/>
      <bottom style="thick">
        <color theme="0"/>
      </bottom>
      <diagonal/>
    </border>
    <border>
      <left/>
      <right/>
      <top style="thick">
        <color theme="0"/>
      </top>
      <bottom/>
      <diagonal/>
    </border>
    <border>
      <left style="thin">
        <color theme="0"/>
      </left>
      <right style="medium">
        <color indexed="64"/>
      </right>
      <top style="thin">
        <color theme="3" tint="-0.24994659260841701"/>
      </top>
      <bottom style="thin">
        <color theme="3" tint="-0.24994659260841701"/>
      </bottom>
      <diagonal/>
    </border>
    <border>
      <left style="thin">
        <color indexed="64"/>
      </left>
      <right style="thin">
        <color indexed="64"/>
      </right>
      <top style="thick">
        <color theme="0"/>
      </top>
      <bottom style="thin">
        <color theme="3" tint="-0.24994659260841701"/>
      </bottom>
      <diagonal/>
    </border>
    <border>
      <left style="thick">
        <color theme="0"/>
      </left>
      <right style="thin">
        <color indexed="64"/>
      </right>
      <top style="thin">
        <color theme="3" tint="-0.24994659260841701"/>
      </top>
      <bottom style="thin">
        <color theme="3" tint="-0.24994659260841701"/>
      </bottom>
      <diagonal/>
    </border>
    <border>
      <left style="thin">
        <color indexed="64"/>
      </left>
      <right style="thin">
        <color indexed="64"/>
      </right>
      <top style="thin">
        <color theme="3" tint="-0.24994659260841701"/>
      </top>
      <bottom style="thin">
        <color theme="3" tint="-0.24994659260841701"/>
      </bottom>
      <diagonal/>
    </border>
    <border>
      <left style="thick">
        <color theme="0"/>
      </left>
      <right style="thin">
        <color indexed="64"/>
      </right>
      <top style="thin">
        <color theme="3" tint="-0.24994659260841701"/>
      </top>
      <bottom style="medium">
        <color theme="0"/>
      </bottom>
      <diagonal/>
    </border>
    <border>
      <left style="thin">
        <color indexed="64"/>
      </left>
      <right style="thin">
        <color indexed="64"/>
      </right>
      <top style="thin">
        <color theme="3" tint="-0.24994659260841701"/>
      </top>
      <bottom style="medium">
        <color theme="0"/>
      </bottom>
      <diagonal/>
    </border>
    <border>
      <left style="thin">
        <color indexed="64"/>
      </left>
      <right style="thick">
        <color theme="0"/>
      </right>
      <top/>
      <bottom style="thin">
        <color theme="3" tint="-0.24994659260841701"/>
      </bottom>
      <diagonal/>
    </border>
    <border>
      <left style="thick">
        <color theme="0"/>
      </left>
      <right style="thin">
        <color indexed="64"/>
      </right>
      <top style="medium">
        <color theme="0"/>
      </top>
      <bottom style="thin">
        <color theme="3" tint="-0.24994659260841701"/>
      </bottom>
      <diagonal/>
    </border>
    <border>
      <left style="thick">
        <color theme="0"/>
      </left>
      <right/>
      <top style="thin">
        <color theme="3" tint="-0.24994659260841701"/>
      </top>
      <bottom style="thick">
        <color theme="0"/>
      </bottom>
      <diagonal/>
    </border>
    <border>
      <left style="thin">
        <color indexed="64"/>
      </left>
      <right style="thick">
        <color theme="0"/>
      </right>
      <top style="thin">
        <color theme="3" tint="-0.24994659260841701"/>
      </top>
      <bottom style="thick">
        <color theme="0"/>
      </bottom>
      <diagonal/>
    </border>
    <border>
      <left style="thin">
        <color theme="0"/>
      </left>
      <right style="medium">
        <color indexed="64"/>
      </right>
      <top style="thin">
        <color theme="3" tint="-0.24994659260841701"/>
      </top>
      <bottom style="medium">
        <color indexed="64"/>
      </bottom>
      <diagonal/>
    </border>
    <border>
      <left style="thin">
        <color theme="0"/>
      </left>
      <right style="thin">
        <color theme="0"/>
      </right>
      <top style="thin">
        <color theme="3" tint="-0.24994659260841701"/>
      </top>
      <bottom style="thin">
        <color theme="3" tint="-0.24994659260841701"/>
      </bottom>
      <diagonal/>
    </border>
    <border>
      <left style="thin">
        <color theme="0"/>
      </left>
      <right style="thin">
        <color theme="0"/>
      </right>
      <top style="thin">
        <color theme="3" tint="-0.24994659260841701"/>
      </top>
      <bottom style="medium">
        <color indexed="64"/>
      </bottom>
      <diagonal/>
    </border>
    <border>
      <left style="thin">
        <color theme="0"/>
      </left>
      <right/>
      <top style="thin">
        <color theme="3" tint="-0.24994659260841701"/>
      </top>
      <bottom style="thin">
        <color theme="3" tint="-0.24994659260841701"/>
      </bottom>
      <diagonal/>
    </border>
    <border>
      <left style="thin">
        <color theme="0"/>
      </left>
      <right/>
      <top style="thin">
        <color theme="3" tint="-0.24994659260841701"/>
      </top>
      <bottom style="medium">
        <color indexed="64"/>
      </bottom>
      <diagonal/>
    </border>
    <border>
      <left style="medium">
        <color indexed="64"/>
      </left>
      <right style="thin">
        <color theme="0"/>
      </right>
      <top style="thin">
        <color theme="3" tint="-0.24994659260841701"/>
      </top>
      <bottom style="thin">
        <color theme="3" tint="-0.24994659260841701"/>
      </bottom>
      <diagonal/>
    </border>
    <border>
      <left style="medium">
        <color indexed="64"/>
      </left>
      <right style="thin">
        <color theme="0"/>
      </right>
      <top style="thin">
        <color theme="3" tint="-0.24994659260841701"/>
      </top>
      <bottom style="medium">
        <color indexed="64"/>
      </bottom>
      <diagonal/>
    </border>
    <border>
      <left style="medium">
        <color indexed="64"/>
      </left>
      <right/>
      <top style="thin">
        <color theme="3" tint="-0.24994659260841701"/>
      </top>
      <bottom style="thin">
        <color theme="3" tint="-0.24994659260841701"/>
      </bottom>
      <diagonal/>
    </border>
    <border>
      <left style="thin">
        <color theme="0"/>
      </left>
      <right/>
      <top/>
      <bottom style="thin">
        <color theme="3" tint="-0.24994659260841701"/>
      </bottom>
      <diagonal/>
    </border>
    <border>
      <left style="medium">
        <color indexed="64"/>
      </left>
      <right style="thin">
        <color theme="0"/>
      </right>
      <top/>
      <bottom style="thin">
        <color theme="3" tint="-0.24994659260841701"/>
      </bottom>
      <diagonal/>
    </border>
    <border>
      <left style="thin">
        <color theme="0"/>
      </left>
      <right style="medium">
        <color indexed="64"/>
      </right>
      <top/>
      <bottom style="thin">
        <color theme="3" tint="-0.24994659260841701"/>
      </bottom>
      <diagonal/>
    </border>
    <border>
      <left style="thin">
        <color indexed="64"/>
      </left>
      <right style="thin">
        <color indexed="64"/>
      </right>
      <top/>
      <bottom style="thin">
        <color theme="3" tint="-0.24994659260841701"/>
      </bottom>
      <diagonal/>
    </border>
    <border>
      <left style="thin">
        <color theme="0"/>
      </left>
      <right style="thin">
        <color theme="0"/>
      </right>
      <top/>
      <bottom style="thin">
        <color theme="3" tint="-0.24994659260841701"/>
      </bottom>
      <diagonal/>
    </border>
    <border>
      <left style="medium">
        <color indexed="64"/>
      </left>
      <right style="thin">
        <color theme="0" tint="-4.9989318521683403E-2"/>
      </right>
      <top style="medium">
        <color indexed="64"/>
      </top>
      <bottom style="thin">
        <color theme="3" tint="-0.24994659260841701"/>
      </bottom>
      <diagonal/>
    </border>
    <border>
      <left style="thin">
        <color theme="0" tint="-4.9989318521683403E-2"/>
      </left>
      <right style="thin">
        <color theme="0" tint="-4.9989318521683403E-2"/>
      </right>
      <top style="medium">
        <color indexed="64"/>
      </top>
      <bottom style="thin">
        <color theme="3" tint="-0.24994659260841701"/>
      </bottom>
      <diagonal/>
    </border>
    <border>
      <left style="thin">
        <color theme="0" tint="-4.9989318521683403E-2"/>
      </left>
      <right style="medium">
        <color indexed="64"/>
      </right>
      <top style="medium">
        <color indexed="64"/>
      </top>
      <bottom style="thin">
        <color theme="3" tint="-0.24994659260841701"/>
      </bottom>
      <diagonal/>
    </border>
    <border>
      <left style="medium">
        <color indexed="64"/>
      </left>
      <right style="thin">
        <color theme="0" tint="-4.9989318521683403E-2"/>
      </right>
      <top style="thin">
        <color theme="3" tint="-0.24994659260841701"/>
      </top>
      <bottom style="thin">
        <color theme="3" tint="-0.24994659260841701"/>
      </bottom>
      <diagonal/>
    </border>
    <border>
      <left style="thin">
        <color theme="0" tint="-4.9989318521683403E-2"/>
      </left>
      <right style="thin">
        <color theme="0" tint="-4.9989318521683403E-2"/>
      </right>
      <top style="thin">
        <color theme="3" tint="-0.24994659260841701"/>
      </top>
      <bottom style="thin">
        <color theme="3" tint="-0.24994659260841701"/>
      </bottom>
      <diagonal/>
    </border>
    <border>
      <left style="thin">
        <color theme="0" tint="-4.9989318521683403E-2"/>
      </left>
      <right style="medium">
        <color indexed="64"/>
      </right>
      <top style="thin">
        <color theme="3" tint="-0.24994659260841701"/>
      </top>
      <bottom style="thin">
        <color theme="3" tint="-0.24994659260841701"/>
      </bottom>
      <diagonal/>
    </border>
    <border>
      <left/>
      <right style="thick">
        <color theme="0"/>
      </right>
      <top/>
      <bottom/>
      <diagonal/>
    </border>
    <border>
      <left style="thick">
        <color theme="0"/>
      </left>
      <right style="thin">
        <color indexed="64"/>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style="double">
        <color theme="3" tint="-0.24994659260841701"/>
      </left>
      <right/>
      <top/>
      <bottom/>
      <diagonal/>
    </border>
    <border>
      <left/>
      <right style="thick">
        <color theme="0"/>
      </right>
      <top style="thick">
        <color theme="0"/>
      </top>
      <bottom/>
      <diagonal/>
    </border>
    <border>
      <left/>
      <right/>
      <top style="thick">
        <color theme="0"/>
      </top>
      <bottom style="thick">
        <color theme="0"/>
      </bottom>
      <diagonal/>
    </border>
    <border>
      <left/>
      <right/>
      <top style="medium">
        <color theme="0"/>
      </top>
      <bottom style="medium">
        <color theme="0"/>
      </bottom>
      <diagonal/>
    </border>
    <border>
      <left style="thin">
        <color indexed="64"/>
      </left>
      <right/>
      <top style="medium">
        <color theme="0"/>
      </top>
      <bottom style="medium">
        <color theme="0"/>
      </bottom>
      <diagonal/>
    </border>
    <border>
      <left/>
      <right/>
      <top style="medium">
        <color theme="0"/>
      </top>
      <bottom/>
      <diagonal/>
    </border>
    <border>
      <left style="thin">
        <color indexed="64"/>
      </left>
      <right/>
      <top style="medium">
        <color theme="0"/>
      </top>
      <bottom/>
      <diagonal/>
    </border>
    <border>
      <left style="thin">
        <color indexed="64"/>
      </left>
      <right/>
      <top style="thick">
        <color theme="0"/>
      </top>
      <bottom style="thick">
        <color theme="0"/>
      </bottom>
      <diagonal/>
    </border>
    <border>
      <left/>
      <right style="thin">
        <color indexed="64"/>
      </right>
      <top style="thick">
        <color theme="0"/>
      </top>
      <bottom style="thick">
        <color theme="0"/>
      </bottom>
      <diagonal/>
    </border>
    <border>
      <left style="thin">
        <color indexed="64"/>
      </left>
      <right style="thick">
        <color theme="0"/>
      </right>
      <top/>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medium">
        <color indexed="64"/>
      </top>
      <bottom style="thin">
        <color theme="0"/>
      </bottom>
      <diagonal/>
    </border>
    <border>
      <left style="thin">
        <color theme="0"/>
      </left>
      <right style="thin">
        <color theme="0"/>
      </right>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bottom style="thin">
        <color theme="3" tint="-0.24994659260841701"/>
      </bottom>
      <diagonal/>
    </border>
    <border>
      <left/>
      <right/>
      <top style="thin">
        <color theme="3" tint="-0.24994659260841701"/>
      </top>
      <bottom style="thick">
        <color theme="0"/>
      </bottom>
      <diagonal/>
    </border>
    <border>
      <left style="thin">
        <color theme="4" tint="0.79998168889431442"/>
      </left>
      <right style="thin">
        <color theme="4" tint="0.79998168889431442"/>
      </right>
      <top style="thin">
        <color theme="0"/>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medium">
        <color indexed="64"/>
      </bottom>
      <diagonal/>
    </border>
    <border>
      <left/>
      <right/>
      <top style="thin">
        <color indexed="64"/>
      </top>
      <bottom style="thin">
        <color theme="0"/>
      </bottom>
      <diagonal/>
    </border>
    <border>
      <left style="medium">
        <color rgb="FF0066CC"/>
      </left>
      <right/>
      <top style="medium">
        <color rgb="FF0066CC"/>
      </top>
      <bottom/>
      <diagonal/>
    </border>
    <border>
      <left style="medium">
        <color rgb="FF0066CC"/>
      </left>
      <right/>
      <top/>
      <bottom style="medium">
        <color rgb="FF0066CC"/>
      </bottom>
      <diagonal/>
    </border>
    <border>
      <left style="thick">
        <color theme="0"/>
      </left>
      <right/>
      <top style="thick">
        <color theme="0"/>
      </top>
      <bottom/>
      <diagonal/>
    </border>
    <border>
      <left/>
      <right style="thick">
        <color theme="0"/>
      </right>
      <top style="thick">
        <color theme="0"/>
      </top>
      <bottom style="thick">
        <color theme="0"/>
      </bottom>
      <diagonal/>
    </border>
    <border>
      <left/>
      <right style="thick">
        <color theme="0"/>
      </right>
      <top style="thick">
        <color theme="0"/>
      </top>
      <bottom style="thin">
        <color indexed="64"/>
      </bottom>
      <diagonal/>
    </border>
    <border>
      <left style="thin">
        <color indexed="64"/>
      </left>
      <right style="thin">
        <color indexed="64"/>
      </right>
      <top/>
      <bottom style="thick">
        <color theme="0"/>
      </bottom>
      <diagonal/>
    </border>
    <border>
      <left style="medium">
        <color theme="0"/>
      </left>
      <right/>
      <top style="thick">
        <color theme="0"/>
      </top>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medium">
        <color indexed="64"/>
      </left>
      <right style="thin">
        <color theme="0"/>
      </right>
      <top style="medium">
        <color indexed="64"/>
      </top>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medium">
        <color indexed="64"/>
      </top>
      <bottom/>
      <diagonal/>
    </border>
    <border>
      <left style="medium">
        <color indexed="64"/>
      </left>
      <right/>
      <top style="medium">
        <color indexed="64"/>
      </top>
      <bottom/>
      <diagonal/>
    </border>
    <border>
      <left style="thin">
        <color theme="0"/>
      </left>
      <right/>
      <top/>
      <bottom/>
      <diagonal/>
    </border>
    <border>
      <left style="thin">
        <color theme="0"/>
      </left>
      <right style="medium">
        <color indexed="64"/>
      </right>
      <top style="thin">
        <color theme="3" tint="-0.24994659260841701"/>
      </top>
      <bottom/>
      <diagonal/>
    </border>
    <border>
      <left style="medium">
        <color indexed="64"/>
      </left>
      <right style="thin">
        <color theme="0"/>
      </right>
      <top style="thin">
        <color theme="3" tint="-0.24994659260841701"/>
      </top>
      <bottom/>
      <diagonal/>
    </border>
    <border>
      <left style="thin">
        <color theme="0"/>
      </left>
      <right style="thin">
        <color theme="0"/>
      </right>
      <top style="thin">
        <color theme="3" tint="-0.24994659260841701"/>
      </top>
      <bottom/>
      <diagonal/>
    </border>
    <border>
      <left/>
      <right style="thin">
        <color theme="0"/>
      </right>
      <top style="medium">
        <color indexed="64"/>
      </top>
      <bottom style="thin">
        <color theme="0"/>
      </bottom>
      <diagonal/>
    </border>
    <border>
      <left/>
      <right style="thin">
        <color theme="0"/>
      </right>
      <top style="thin">
        <color theme="0"/>
      </top>
      <bottom/>
      <diagonal/>
    </border>
    <border>
      <left/>
      <right style="thin">
        <color theme="0"/>
      </right>
      <top style="thin">
        <color theme="0"/>
      </top>
      <bottom style="medium">
        <color indexed="64"/>
      </bottom>
      <diagonal/>
    </border>
    <border>
      <left style="medium">
        <color auto="1"/>
      </left>
      <right style="medium">
        <color theme="4" tint="0.79998168889431442"/>
      </right>
      <top style="medium">
        <color auto="1"/>
      </top>
      <bottom style="medium">
        <color theme="4" tint="0.79998168889431442"/>
      </bottom>
      <diagonal/>
    </border>
    <border>
      <left style="medium">
        <color auto="1"/>
      </left>
      <right style="medium">
        <color theme="4" tint="0.79998168889431442"/>
      </right>
      <top style="medium">
        <color theme="4" tint="0.79998168889431442"/>
      </top>
      <bottom style="medium">
        <color theme="4" tint="0.79998168889431442"/>
      </bottom>
      <diagonal/>
    </border>
    <border>
      <left style="medium">
        <color auto="1"/>
      </left>
      <right style="medium">
        <color theme="4" tint="0.79998168889431442"/>
      </right>
      <top style="medium">
        <color theme="4" tint="0.79998168889431442"/>
      </top>
      <bottom style="medium">
        <color auto="1"/>
      </bottom>
      <diagonal/>
    </border>
    <border>
      <left/>
      <right style="thin">
        <color theme="0"/>
      </right>
      <top/>
      <bottom/>
      <diagonal/>
    </border>
    <border>
      <left style="thin">
        <color theme="0"/>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s>
  <cellStyleXfs count="9">
    <xf numFmtId="0" fontId="0" fillId="0" borderId="0"/>
    <xf numFmtId="0" fontId="2" fillId="0" borderId="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cellStyleXfs>
  <cellXfs count="512">
    <xf numFmtId="0" fontId="0" fillId="0" borderId="0" xfId="0"/>
    <xf numFmtId="0" fontId="4" fillId="5" borderId="4" xfId="0" applyFont="1" applyFill="1" applyBorder="1" applyAlignment="1">
      <alignment horizontal="justify" vertical="center"/>
    </xf>
    <xf numFmtId="0" fontId="4" fillId="5" borderId="4" xfId="0" applyFont="1" applyFill="1" applyBorder="1" applyAlignment="1">
      <alignment horizontal="justify" vertical="center" wrapText="1"/>
    </xf>
    <xf numFmtId="0" fontId="15" fillId="8" borderId="0" xfId="0" applyFont="1" applyFill="1" applyAlignment="1">
      <alignment horizontal="justify" vertical="center" wrapText="1"/>
    </xf>
    <xf numFmtId="0" fontId="16" fillId="0" borderId="0" xfId="0" applyFont="1" applyAlignment="1">
      <alignment vertical="center"/>
    </xf>
    <xf numFmtId="0" fontId="18" fillId="8" borderId="0" xfId="0" applyFont="1" applyFill="1" applyAlignment="1">
      <alignment horizontal="center" vertical="center"/>
    </xf>
    <xf numFmtId="0" fontId="8" fillId="0" borderId="0" xfId="0" applyFont="1" applyAlignment="1">
      <alignment horizontal="justify" vertical="center" wrapText="1"/>
    </xf>
    <xf numFmtId="0" fontId="9" fillId="8" borderId="4" xfId="0" applyFont="1" applyFill="1" applyBorder="1" applyAlignment="1">
      <alignment horizontal="center" vertical="center" wrapText="1"/>
    </xf>
    <xf numFmtId="0" fontId="8" fillId="0" borderId="0" xfId="0" applyFont="1" applyAlignment="1">
      <alignment vertical="center"/>
    </xf>
    <xf numFmtId="0" fontId="21" fillId="0" borderId="0" xfId="0" applyFont="1" applyAlignment="1">
      <alignment vertical="center" wrapText="1"/>
    </xf>
    <xf numFmtId="0" fontId="0" fillId="8" borderId="0" xfId="0" applyFill="1" applyAlignment="1">
      <alignment vertical="center"/>
    </xf>
    <xf numFmtId="0" fontId="0" fillId="0" borderId="0" xfId="0" applyAlignment="1">
      <alignment vertical="center"/>
    </xf>
    <xf numFmtId="0" fontId="11" fillId="0" borderId="0" xfId="0" applyFont="1" applyAlignment="1">
      <alignment vertical="center"/>
    </xf>
    <xf numFmtId="0" fontId="17" fillId="0" borderId="0" xfId="0" applyFont="1" applyAlignment="1">
      <alignment vertical="center"/>
    </xf>
    <xf numFmtId="0" fontId="0" fillId="8" borderId="60" xfId="0" applyFill="1" applyBorder="1" applyAlignment="1">
      <alignment vertical="center"/>
    </xf>
    <xf numFmtId="0" fontId="17" fillId="8" borderId="0" xfId="0" applyFont="1" applyFill="1" applyAlignment="1">
      <alignment vertical="center"/>
    </xf>
    <xf numFmtId="0" fontId="0" fillId="8" borderId="58" xfId="0" applyFill="1" applyBorder="1" applyAlignment="1">
      <alignment vertical="center"/>
    </xf>
    <xf numFmtId="0" fontId="31" fillId="8" borderId="60" xfId="0" applyFont="1" applyFill="1" applyBorder="1" applyAlignment="1">
      <alignment horizontal="center" vertical="top"/>
    </xf>
    <xf numFmtId="0" fontId="27" fillId="8" borderId="0" xfId="0" applyFont="1" applyFill="1" applyAlignment="1">
      <alignment vertical="center"/>
    </xf>
    <xf numFmtId="0" fontId="27" fillId="8" borderId="0" xfId="0" applyFont="1" applyFill="1" applyAlignment="1">
      <alignment horizontal="center" vertical="center"/>
    </xf>
    <xf numFmtId="0" fontId="32" fillId="8" borderId="60" xfId="0" applyFont="1" applyFill="1" applyBorder="1" applyAlignment="1">
      <alignment horizontal="center" vertical="top"/>
    </xf>
    <xf numFmtId="168" fontId="33" fillId="5" borderId="4" xfId="0" applyNumberFormat="1" applyFont="1" applyFill="1" applyBorder="1" applyAlignment="1" applyProtection="1">
      <alignment horizontal="center" vertical="center"/>
      <protection locked="0"/>
    </xf>
    <xf numFmtId="168" fontId="22" fillId="8" borderId="58" xfId="0" applyNumberFormat="1" applyFont="1" applyFill="1" applyBorder="1" applyAlignment="1">
      <alignment vertical="center" wrapText="1"/>
    </xf>
    <xf numFmtId="168" fontId="34" fillId="8" borderId="0" xfId="0" applyNumberFormat="1" applyFont="1" applyFill="1" applyAlignment="1">
      <alignment horizontal="center" vertical="center"/>
    </xf>
    <xf numFmtId="0" fontId="0" fillId="8" borderId="61" xfId="0" applyFill="1" applyBorder="1" applyAlignment="1">
      <alignment vertical="center"/>
    </xf>
    <xf numFmtId="0" fontId="0" fillId="8" borderId="25" xfId="0" applyFill="1" applyBorder="1" applyAlignment="1">
      <alignment vertical="center"/>
    </xf>
    <xf numFmtId="168" fontId="17" fillId="8" borderId="25" xfId="0" applyNumberFormat="1" applyFont="1" applyFill="1" applyBorder="1" applyAlignment="1">
      <alignment horizontal="center" vertical="center"/>
    </xf>
    <xf numFmtId="0" fontId="0" fillId="8" borderId="26" xfId="0" applyFill="1" applyBorder="1" applyAlignment="1">
      <alignment vertical="center"/>
    </xf>
    <xf numFmtId="0" fontId="0" fillId="8" borderId="62" xfId="0" applyFill="1" applyBorder="1" applyAlignment="1">
      <alignment vertical="center"/>
    </xf>
    <xf numFmtId="168" fontId="17" fillId="8" borderId="0" xfId="0" applyNumberFormat="1" applyFont="1" applyFill="1" applyAlignment="1">
      <alignment horizontal="center" vertical="center"/>
    </xf>
    <xf numFmtId="0" fontId="0" fillId="8" borderId="63" xfId="0" applyFill="1" applyBorder="1" applyAlignment="1">
      <alignment vertical="center"/>
    </xf>
    <xf numFmtId="0" fontId="32" fillId="8" borderId="62" xfId="0" applyFont="1" applyFill="1" applyBorder="1" applyAlignment="1">
      <alignment vertical="center"/>
    </xf>
    <xf numFmtId="168" fontId="33" fillId="5" borderId="7" xfId="0" applyNumberFormat="1" applyFont="1" applyFill="1" applyBorder="1" applyAlignment="1" applyProtection="1">
      <alignment horizontal="center" vertical="center"/>
      <protection locked="0"/>
    </xf>
    <xf numFmtId="168" fontId="22" fillId="8" borderId="0" xfId="0" applyNumberFormat="1" applyFont="1" applyFill="1" applyAlignment="1">
      <alignment vertical="center" wrapText="1"/>
    </xf>
    <xf numFmtId="0" fontId="0" fillId="8" borderId="0" xfId="0" applyFill="1" applyAlignment="1">
      <alignment horizontal="left" vertical="center"/>
    </xf>
    <xf numFmtId="168" fontId="23" fillId="8" borderId="0" xfId="0" applyNumberFormat="1" applyFont="1" applyFill="1" applyAlignment="1">
      <alignment horizontal="center" vertical="center"/>
    </xf>
    <xf numFmtId="0" fontId="0" fillId="8" borderId="27" xfId="0" applyFill="1" applyBorder="1" applyAlignment="1">
      <alignment vertical="center"/>
    </xf>
    <xf numFmtId="0" fontId="0" fillId="8" borderId="25" xfId="0" applyFill="1" applyBorder="1" applyAlignment="1">
      <alignment horizontal="left" vertical="center"/>
    </xf>
    <xf numFmtId="165" fontId="35" fillId="8" borderId="25" xfId="3" applyFont="1" applyFill="1" applyBorder="1" applyAlignment="1" applyProtection="1">
      <alignment horizontal="center" vertical="center"/>
    </xf>
    <xf numFmtId="168" fontId="22" fillId="8" borderId="26" xfId="0" applyNumberFormat="1" applyFont="1" applyFill="1" applyBorder="1" applyAlignment="1">
      <alignment vertical="center" wrapText="1"/>
    </xf>
    <xf numFmtId="0" fontId="33" fillId="5" borderId="0" xfId="0" applyFont="1" applyFill="1" applyAlignment="1">
      <alignment horizontal="center" vertical="center" wrapText="1"/>
    </xf>
    <xf numFmtId="0" fontId="33" fillId="5" borderId="0" xfId="0" applyFont="1" applyFill="1" applyAlignment="1">
      <alignment horizontal="justify" vertical="center" wrapText="1"/>
    </xf>
    <xf numFmtId="168" fontId="33" fillId="5" borderId="7" xfId="0" applyNumberFormat="1" applyFont="1" applyFill="1" applyBorder="1" applyAlignment="1">
      <alignment horizontal="center" vertical="center"/>
    </xf>
    <xf numFmtId="168" fontId="6" fillId="8" borderId="0" xfId="0" applyNumberFormat="1" applyFont="1" applyFill="1" applyAlignment="1">
      <alignment horizontal="center" vertical="center" wrapText="1"/>
    </xf>
    <xf numFmtId="0" fontId="15" fillId="8" borderId="93" xfId="0" applyFont="1" applyFill="1" applyBorder="1" applyAlignment="1">
      <alignment horizontal="center" vertical="center" wrapText="1"/>
    </xf>
    <xf numFmtId="0" fontId="0" fillId="2" borderId="27" xfId="0" applyFill="1" applyBorder="1" applyAlignment="1">
      <alignment vertical="center"/>
    </xf>
    <xf numFmtId="0" fontId="0" fillId="2" borderId="25" xfId="0" applyFill="1" applyBorder="1" applyAlignment="1">
      <alignment vertical="center"/>
    </xf>
    <xf numFmtId="0" fontId="17" fillId="2" borderId="25" xfId="0" applyFont="1" applyFill="1" applyBorder="1" applyAlignment="1">
      <alignment vertical="center"/>
    </xf>
    <xf numFmtId="0" fontId="0" fillId="2" borderId="26" xfId="0" applyFill="1" applyBorder="1" applyAlignment="1">
      <alignment vertical="center"/>
    </xf>
    <xf numFmtId="0" fontId="0" fillId="0" borderId="25" xfId="0" applyBorder="1" applyAlignment="1">
      <alignment vertical="center"/>
    </xf>
    <xf numFmtId="0" fontId="36" fillId="0" borderId="0" xfId="0" applyFont="1" applyAlignment="1">
      <alignment vertical="center"/>
    </xf>
    <xf numFmtId="0" fontId="26" fillId="0" borderId="0" xfId="0" applyFont="1" applyAlignment="1">
      <alignment vertical="center"/>
    </xf>
    <xf numFmtId="0" fontId="26" fillId="0" borderId="9" xfId="0" applyFont="1" applyBorder="1" applyAlignment="1">
      <alignment vertical="center"/>
    </xf>
    <xf numFmtId="0" fontId="26" fillId="0" borderId="0" xfId="0" applyFont="1" applyAlignment="1">
      <alignment horizontal="center" vertical="center" wrapText="1"/>
    </xf>
    <xf numFmtId="0" fontId="12" fillId="8" borderId="78" xfId="0" applyFont="1" applyFill="1" applyBorder="1" applyAlignment="1">
      <alignment horizontal="center" vertical="center" wrapText="1"/>
    </xf>
    <xf numFmtId="0" fontId="12" fillId="8" borderId="79" xfId="0" applyFont="1" applyFill="1" applyBorder="1" applyAlignment="1">
      <alignment horizontal="center" vertical="center" wrapText="1"/>
    </xf>
    <xf numFmtId="0" fontId="12" fillId="8" borderId="72" xfId="0" applyFont="1" applyFill="1" applyBorder="1" applyAlignment="1" applyProtection="1">
      <alignment horizontal="center" vertical="center" wrapText="1"/>
      <protection locked="0"/>
    </xf>
    <xf numFmtId="0" fontId="12" fillId="8" borderId="73"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25" fillId="5" borderId="47" xfId="0" applyFont="1" applyFill="1" applyBorder="1" applyAlignment="1">
      <alignment horizontal="left" vertical="center" wrapText="1"/>
    </xf>
    <xf numFmtId="168" fontId="12" fillId="8" borderId="80" xfId="0" applyNumberFormat="1" applyFont="1" applyFill="1" applyBorder="1" applyAlignment="1">
      <alignment horizontal="left" vertical="center" wrapText="1"/>
    </xf>
    <xf numFmtId="168" fontId="12" fillId="8" borderId="81" xfId="0" applyNumberFormat="1" applyFont="1" applyFill="1" applyBorder="1" applyAlignment="1">
      <alignment horizontal="left" vertical="center" wrapText="1"/>
    </xf>
    <xf numFmtId="168" fontId="12" fillId="8" borderId="82" xfId="0" applyNumberFormat="1" applyFont="1" applyFill="1" applyBorder="1" applyAlignment="1">
      <alignment horizontal="left" vertical="center" wrapText="1"/>
    </xf>
    <xf numFmtId="168" fontId="24" fillId="5" borderId="48" xfId="0" applyNumberFormat="1" applyFont="1" applyFill="1" applyBorder="1" applyAlignment="1">
      <alignment vertical="center" wrapText="1"/>
    </xf>
    <xf numFmtId="168" fontId="24" fillId="5" borderId="51" xfId="0" applyNumberFormat="1" applyFont="1" applyFill="1" applyBorder="1" applyAlignment="1" applyProtection="1">
      <alignment horizontal="center" vertical="center" wrapText="1"/>
      <protection locked="0"/>
    </xf>
    <xf numFmtId="168" fontId="25" fillId="5" borderId="49" xfId="0" applyNumberFormat="1" applyFont="1" applyFill="1" applyBorder="1" applyAlignment="1">
      <alignment horizontal="center" vertical="center" wrapText="1"/>
    </xf>
    <xf numFmtId="168" fontId="24" fillId="5" borderId="47" xfId="0" applyNumberFormat="1" applyFont="1" applyFill="1" applyBorder="1" applyAlignment="1" applyProtection="1">
      <alignment horizontal="center" vertical="center" wrapText="1"/>
      <protection locked="0"/>
    </xf>
    <xf numFmtId="168" fontId="24" fillId="5" borderId="49" xfId="0" applyNumberFormat="1" applyFont="1" applyFill="1" applyBorder="1" applyAlignment="1">
      <alignment horizontal="center" vertical="center" wrapText="1"/>
    </xf>
    <xf numFmtId="168" fontId="24" fillId="1" borderId="52" xfId="0" applyNumberFormat="1" applyFont="1" applyFill="1" applyBorder="1" applyAlignment="1">
      <alignment horizontal="center" vertical="center" wrapText="1"/>
    </xf>
    <xf numFmtId="168" fontId="24" fillId="1" borderId="53" xfId="0" applyNumberFormat="1" applyFont="1" applyFill="1" applyBorder="1" applyAlignment="1">
      <alignment horizontal="center" vertical="center" wrapText="1"/>
    </xf>
    <xf numFmtId="168" fontId="24" fillId="1" borderId="54" xfId="0" applyNumberFormat="1" applyFont="1" applyFill="1" applyBorder="1" applyAlignment="1">
      <alignment horizontal="center" vertical="center" wrapText="1"/>
    </xf>
    <xf numFmtId="168" fontId="11" fillId="0" borderId="0" xfId="0" applyNumberFormat="1" applyFont="1" applyAlignment="1">
      <alignment vertical="center"/>
    </xf>
    <xf numFmtId="0" fontId="25" fillId="5" borderId="42" xfId="0" applyFont="1" applyFill="1" applyBorder="1" applyAlignment="1">
      <alignment horizontal="left" vertical="center" wrapText="1"/>
    </xf>
    <xf numFmtId="168" fontId="12" fillId="8" borderId="83" xfId="0" applyNumberFormat="1" applyFont="1" applyFill="1" applyBorder="1" applyAlignment="1">
      <alignment horizontal="left" vertical="center" wrapText="1"/>
    </xf>
    <xf numFmtId="168" fontId="12" fillId="8" borderId="74" xfId="0" applyNumberFormat="1" applyFont="1" applyFill="1" applyBorder="1" applyAlignment="1">
      <alignment horizontal="left" vertical="center" wrapText="1"/>
    </xf>
    <xf numFmtId="168" fontId="12" fillId="8" borderId="75" xfId="0" applyNumberFormat="1" applyFont="1" applyFill="1" applyBorder="1" applyAlignment="1">
      <alignment horizontal="left" vertical="center" wrapText="1"/>
    </xf>
    <xf numFmtId="168" fontId="24" fillId="5" borderId="40" xfId="0" applyNumberFormat="1" applyFont="1" applyFill="1" applyBorder="1" applyAlignment="1" applyProtection="1">
      <alignment horizontal="center" vertical="center" wrapText="1"/>
      <protection locked="0"/>
    </xf>
    <xf numFmtId="168" fontId="25" fillId="5" borderId="29" xfId="0" applyNumberFormat="1" applyFont="1" applyFill="1" applyBorder="1" applyAlignment="1">
      <alignment horizontal="center" vertical="center" wrapText="1"/>
    </xf>
    <xf numFmtId="168" fontId="24" fillId="5" borderId="42" xfId="0" applyNumberFormat="1" applyFont="1" applyFill="1" applyBorder="1" applyAlignment="1" applyProtection="1">
      <alignment horizontal="center" vertical="center" wrapText="1"/>
      <protection locked="0"/>
    </xf>
    <xf numFmtId="168" fontId="24" fillId="5" borderId="29" xfId="0" applyNumberFormat="1" applyFont="1" applyFill="1" applyBorder="1" applyAlignment="1">
      <alignment horizontal="center" vertical="center" wrapText="1"/>
    </xf>
    <xf numFmtId="168" fontId="24" fillId="1" borderId="55" xfId="0" applyNumberFormat="1" applyFont="1" applyFill="1" applyBorder="1" applyAlignment="1">
      <alignment horizontal="center" vertical="center" wrapText="1"/>
    </xf>
    <xf numFmtId="168" fontId="24" fillId="1" borderId="56" xfId="0" applyNumberFormat="1" applyFont="1" applyFill="1" applyBorder="1" applyAlignment="1">
      <alignment horizontal="center" vertical="center" wrapText="1"/>
    </xf>
    <xf numFmtId="168" fontId="24" fillId="1" borderId="57" xfId="0" applyNumberFormat="1" applyFont="1" applyFill="1" applyBorder="1" applyAlignment="1">
      <alignment horizontal="center" vertical="center" wrapText="1"/>
    </xf>
    <xf numFmtId="168" fontId="12" fillId="8" borderId="83" xfId="0" applyNumberFormat="1" applyFont="1" applyFill="1" applyBorder="1" applyAlignment="1">
      <alignment vertical="center" wrapText="1"/>
    </xf>
    <xf numFmtId="168" fontId="12" fillId="8" borderId="74" xfId="0" applyNumberFormat="1" applyFont="1" applyFill="1" applyBorder="1" applyAlignment="1">
      <alignment vertical="center" wrapText="1"/>
    </xf>
    <xf numFmtId="168" fontId="12" fillId="8" borderId="75" xfId="0" applyNumberFormat="1" applyFont="1" applyFill="1" applyBorder="1" applyAlignment="1">
      <alignment vertical="center" wrapText="1"/>
    </xf>
    <xf numFmtId="168" fontId="24" fillId="5" borderId="40" xfId="0" applyNumberFormat="1" applyFont="1" applyFill="1" applyBorder="1" applyAlignment="1" applyProtection="1">
      <alignment vertical="center" wrapText="1"/>
      <protection locked="0"/>
    </xf>
    <xf numFmtId="168" fontId="25" fillId="5" borderId="29" xfId="0" applyNumberFormat="1" applyFont="1" applyFill="1" applyBorder="1" applyAlignment="1">
      <alignment vertical="center" wrapText="1"/>
    </xf>
    <xf numFmtId="168" fontId="24" fillId="5" borderId="42" xfId="5" applyNumberFormat="1" applyFont="1" applyFill="1" applyBorder="1" applyAlignment="1" applyProtection="1">
      <alignment horizontal="center" vertical="center" wrapText="1"/>
      <protection locked="0"/>
    </xf>
    <xf numFmtId="168" fontId="24" fillId="5" borderId="29" xfId="5" applyNumberFormat="1" applyFont="1" applyFill="1" applyBorder="1" applyAlignment="1" applyProtection="1">
      <alignment horizontal="center" vertical="center" wrapText="1"/>
    </xf>
    <xf numFmtId="9" fontId="11" fillId="0" borderId="0" xfId="8" applyFont="1" applyFill="1" applyAlignment="1" applyProtection="1">
      <alignment vertical="center"/>
    </xf>
    <xf numFmtId="168" fontId="24" fillId="5" borderId="46" xfId="5" applyNumberFormat="1" applyFont="1" applyFill="1" applyBorder="1" applyAlignment="1" applyProtection="1">
      <alignment horizontal="center" vertical="center" wrapText="1"/>
    </xf>
    <xf numFmtId="168" fontId="12" fillId="8" borderId="83" xfId="0" applyNumberFormat="1" applyFont="1" applyFill="1" applyBorder="1" applyAlignment="1">
      <alignment horizontal="center" vertical="center" wrapText="1"/>
    </xf>
    <xf numFmtId="168" fontId="12" fillId="8" borderId="74" xfId="0" applyNumberFormat="1" applyFont="1" applyFill="1" applyBorder="1" applyAlignment="1">
      <alignment horizontal="center" vertical="center" wrapText="1"/>
    </xf>
    <xf numFmtId="168" fontId="12" fillId="8" borderId="75" xfId="0" applyNumberFormat="1" applyFont="1" applyFill="1" applyBorder="1" applyAlignment="1">
      <alignment horizontal="center" vertical="center" wrapText="1"/>
    </xf>
    <xf numFmtId="168" fontId="12" fillId="8" borderId="83" xfId="5" applyNumberFormat="1" applyFont="1" applyFill="1" applyBorder="1" applyAlignment="1" applyProtection="1">
      <alignment horizontal="left" vertical="center" wrapText="1"/>
    </xf>
    <xf numFmtId="168" fontId="12" fillId="8" borderId="74" xfId="5" applyNumberFormat="1" applyFont="1" applyFill="1" applyBorder="1" applyAlignment="1" applyProtection="1">
      <alignment horizontal="left" vertical="center" wrapText="1"/>
    </xf>
    <xf numFmtId="168" fontId="12" fillId="8" borderId="75" xfId="5" applyNumberFormat="1" applyFont="1" applyFill="1" applyBorder="1" applyAlignment="1" applyProtection="1">
      <alignment horizontal="left" vertical="center" wrapText="1"/>
    </xf>
    <xf numFmtId="168" fontId="24" fillId="1" borderId="44" xfId="0" applyNumberFormat="1" applyFont="1" applyFill="1" applyBorder="1" applyAlignment="1">
      <alignment horizontal="center" vertical="center" wrapText="1"/>
    </xf>
    <xf numFmtId="168" fontId="24" fillId="1" borderId="40" xfId="0" applyNumberFormat="1" applyFont="1" applyFill="1" applyBorder="1" applyAlignment="1">
      <alignment horizontal="center" vertical="center" wrapText="1"/>
    </xf>
    <xf numFmtId="168" fontId="24" fillId="1" borderId="29" xfId="0" applyNumberFormat="1" applyFont="1" applyFill="1" applyBorder="1" applyAlignment="1">
      <alignment horizontal="center" vertical="center" wrapText="1"/>
    </xf>
    <xf numFmtId="168" fontId="24" fillId="1" borderId="44" xfId="0" applyNumberFormat="1" applyFont="1" applyFill="1" applyBorder="1" applyAlignment="1">
      <alignment vertical="center" wrapText="1"/>
    </xf>
    <xf numFmtId="168" fontId="24" fillId="1" borderId="40" xfId="0" applyNumberFormat="1" applyFont="1" applyFill="1" applyBorder="1" applyAlignment="1" applyProtection="1">
      <alignment vertical="center" wrapText="1"/>
      <protection locked="0"/>
    </xf>
    <xf numFmtId="168" fontId="25" fillId="1" borderId="29" xfId="0" applyNumberFormat="1" applyFont="1" applyFill="1" applyBorder="1" applyAlignment="1">
      <alignment vertical="center" wrapText="1"/>
    </xf>
    <xf numFmtId="0" fontId="25" fillId="5" borderId="43" xfId="0" applyFont="1" applyFill="1" applyBorder="1" applyAlignment="1">
      <alignment horizontal="left" vertical="center" wrapText="1"/>
    </xf>
    <xf numFmtId="168" fontId="12" fillId="8" borderId="84" xfId="5" applyNumberFormat="1" applyFont="1" applyFill="1" applyBorder="1" applyAlignment="1" applyProtection="1">
      <alignment horizontal="left" vertical="center" wrapText="1"/>
    </xf>
    <xf numFmtId="168" fontId="12" fillId="8" borderId="85" xfId="5" applyNumberFormat="1" applyFont="1" applyFill="1" applyBorder="1" applyAlignment="1" applyProtection="1">
      <alignment horizontal="left" vertical="center" wrapText="1"/>
    </xf>
    <xf numFmtId="168" fontId="12" fillId="8" borderId="86" xfId="5" applyNumberFormat="1" applyFont="1" applyFill="1" applyBorder="1" applyAlignment="1" applyProtection="1">
      <alignment horizontal="left" vertical="center" wrapText="1"/>
    </xf>
    <xf numFmtId="168" fontId="24" fillId="1" borderId="45" xfId="0" applyNumberFormat="1" applyFont="1" applyFill="1" applyBorder="1" applyAlignment="1">
      <alignment horizontal="center" vertical="center" wrapText="1"/>
    </xf>
    <xf numFmtId="168" fontId="24" fillId="1" borderId="41" xfId="0" applyNumberFormat="1" applyFont="1" applyFill="1" applyBorder="1" applyAlignment="1">
      <alignment horizontal="center" vertical="center" wrapText="1"/>
    </xf>
    <xf numFmtId="168" fontId="24" fillId="1" borderId="39" xfId="0" applyNumberFormat="1" applyFont="1" applyFill="1" applyBorder="1" applyAlignment="1">
      <alignment horizontal="center" vertical="center" wrapText="1"/>
    </xf>
    <xf numFmtId="168" fontId="24" fillId="5" borderId="43" xfId="5" applyNumberFormat="1" applyFont="1" applyFill="1" applyBorder="1" applyAlignment="1" applyProtection="1">
      <alignment horizontal="center" vertical="center" wrapText="1"/>
      <protection locked="0"/>
    </xf>
    <xf numFmtId="168" fontId="24" fillId="5" borderId="39" xfId="5" applyNumberFormat="1" applyFont="1" applyFill="1" applyBorder="1" applyAlignment="1" applyProtection="1">
      <alignment horizontal="center" vertical="center" wrapText="1"/>
    </xf>
    <xf numFmtId="0" fontId="12" fillId="8" borderId="15" xfId="0" applyFont="1" applyFill="1" applyBorder="1" applyAlignment="1">
      <alignment horizontal="center" vertical="center"/>
    </xf>
    <xf numFmtId="168" fontId="12" fillId="8" borderId="79" xfId="0" applyNumberFormat="1" applyFont="1" applyFill="1" applyBorder="1" applyAlignment="1">
      <alignment horizontal="center" vertical="center" wrapText="1"/>
    </xf>
    <xf numFmtId="168" fontId="12" fillId="8" borderId="72" xfId="0" applyNumberFormat="1" applyFont="1" applyFill="1" applyBorder="1" applyAlignment="1">
      <alignment horizontal="center" vertical="center" wrapText="1"/>
    </xf>
    <xf numFmtId="168" fontId="12" fillId="8" borderId="73" xfId="0" applyNumberFormat="1" applyFont="1" applyFill="1" applyBorder="1" applyAlignment="1">
      <alignment horizontal="center" vertical="center" wrapText="1"/>
    </xf>
    <xf numFmtId="168" fontId="12" fillId="8" borderId="78" xfId="0" applyNumberFormat="1" applyFont="1" applyFill="1" applyBorder="1" applyAlignment="1">
      <alignment horizontal="center" vertical="center" wrapText="1"/>
    </xf>
    <xf numFmtId="168" fontId="12" fillId="8" borderId="15"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9" fontId="26" fillId="0" borderId="0" xfId="8" applyFont="1" applyFill="1" applyAlignment="1" applyProtection="1">
      <alignment horizontal="center" vertical="center" wrapText="1"/>
    </xf>
    <xf numFmtId="0" fontId="12" fillId="7" borderId="4" xfId="0" applyFont="1" applyFill="1" applyBorder="1" applyAlignment="1">
      <alignment horizontal="center" vertical="center" wrapText="1"/>
    </xf>
    <xf numFmtId="0" fontId="12" fillId="7" borderId="4" xfId="0" applyFont="1" applyFill="1" applyBorder="1" applyAlignment="1">
      <alignment vertical="center"/>
    </xf>
    <xf numFmtId="168" fontId="12" fillId="7" borderId="4" xfId="0" applyNumberFormat="1" applyFont="1" applyFill="1" applyBorder="1" applyAlignment="1">
      <alignment vertical="center"/>
    </xf>
    <xf numFmtId="168" fontId="13" fillId="5" borderId="4" xfId="0" applyNumberFormat="1" applyFont="1" applyFill="1" applyBorder="1" applyAlignment="1">
      <alignment vertical="center"/>
    </xf>
    <xf numFmtId="9" fontId="13" fillId="5" borderId="4" xfId="8" applyFont="1" applyFill="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2" fillId="7" borderId="8" xfId="0" applyFont="1" applyFill="1" applyBorder="1" applyAlignment="1">
      <alignment vertical="center"/>
    </xf>
    <xf numFmtId="168" fontId="12" fillId="7" borderId="7" xfId="0" applyNumberFormat="1" applyFont="1" applyFill="1" applyBorder="1" applyAlignment="1">
      <alignment vertical="center"/>
    </xf>
    <xf numFmtId="168" fontId="24" fillId="1" borderId="116" xfId="0" applyNumberFormat="1" applyFont="1" applyFill="1" applyBorder="1" applyAlignment="1">
      <alignment horizontal="center" vertical="center" wrapText="1"/>
    </xf>
    <xf numFmtId="168" fontId="24" fillId="1" borderId="117" xfId="0" applyNumberFormat="1" applyFont="1" applyFill="1" applyBorder="1" applyAlignment="1">
      <alignment horizontal="center" vertical="center" wrapText="1"/>
    </xf>
    <xf numFmtId="168" fontId="24" fillId="1" borderId="115" xfId="0" applyNumberFormat="1" applyFont="1" applyFill="1" applyBorder="1" applyAlignment="1">
      <alignment horizontal="center" vertical="center" wrapText="1"/>
    </xf>
    <xf numFmtId="0" fontId="12" fillId="7" borderId="0" xfId="0" applyFont="1" applyFill="1" applyAlignment="1">
      <alignment horizontal="center" vertical="center"/>
    </xf>
    <xf numFmtId="0" fontId="8" fillId="8" borderId="13" xfId="0" applyFont="1" applyFill="1" applyBorder="1" applyAlignment="1">
      <alignment horizontal="justify" vertical="center" wrapText="1"/>
    </xf>
    <xf numFmtId="0" fontId="8" fillId="8" borderId="5" xfId="0" applyFont="1" applyFill="1" applyBorder="1" applyAlignment="1">
      <alignment horizontal="justify" vertical="center" wrapText="1"/>
    </xf>
    <xf numFmtId="0" fontId="8" fillId="8" borderId="10" xfId="0" applyFont="1" applyFill="1" applyBorder="1" applyAlignment="1">
      <alignment horizontal="justify" vertical="center" wrapText="1"/>
    </xf>
    <xf numFmtId="0" fontId="8" fillId="3" borderId="0" xfId="0" applyFont="1" applyFill="1" applyAlignment="1">
      <alignment horizontal="justify" vertical="center" wrapText="1"/>
    </xf>
    <xf numFmtId="0" fontId="8" fillId="8" borderId="2" xfId="0" applyFont="1" applyFill="1" applyBorder="1" applyAlignment="1">
      <alignment horizontal="justify" vertical="center" wrapText="1"/>
    </xf>
    <xf numFmtId="0" fontId="8" fillId="0" borderId="0" xfId="0" applyFont="1" applyAlignment="1">
      <alignment horizontal="left" vertical="center"/>
    </xf>
    <xf numFmtId="0" fontId="8" fillId="8" borderId="0" xfId="0" applyFont="1" applyFill="1" applyAlignment="1">
      <alignment horizontal="justify" vertical="center" wrapText="1"/>
    </xf>
    <xf numFmtId="0" fontId="8" fillId="8" borderId="1" xfId="0" applyFont="1" applyFill="1" applyBorder="1" applyAlignment="1">
      <alignment horizontal="justify" vertical="center" wrapText="1"/>
    </xf>
    <xf numFmtId="0" fontId="8" fillId="8" borderId="2" xfId="0" applyFont="1" applyFill="1" applyBorder="1" applyAlignment="1">
      <alignment vertical="center"/>
    </xf>
    <xf numFmtId="0" fontId="8" fillId="8" borderId="0" xfId="0" applyFont="1" applyFill="1" applyAlignment="1">
      <alignment vertical="center"/>
    </xf>
    <xf numFmtId="0" fontId="8" fillId="8" borderId="1" xfId="0" applyFont="1" applyFill="1" applyBorder="1" applyAlignment="1">
      <alignment vertical="center"/>
    </xf>
    <xf numFmtId="0" fontId="22" fillId="5" borderId="4" xfId="0" applyFont="1" applyFill="1" applyBorder="1" applyAlignment="1" applyProtection="1">
      <alignment horizontal="center" vertical="center" wrapText="1"/>
      <protection locked="0"/>
    </xf>
    <xf numFmtId="166" fontId="22" fillId="4" borderId="4" xfId="5" applyFont="1" applyFill="1" applyBorder="1" applyAlignment="1" applyProtection="1">
      <alignment horizontal="justify" vertical="center" wrapText="1"/>
    </xf>
    <xf numFmtId="166" fontId="8" fillId="5" borderId="4" xfId="5" applyFont="1" applyFill="1" applyBorder="1" applyAlignment="1" applyProtection="1">
      <alignment horizontal="justify" vertical="center" wrapText="1"/>
      <protection locked="0"/>
    </xf>
    <xf numFmtId="0" fontId="8" fillId="5" borderId="4" xfId="2" applyNumberFormat="1" applyFont="1" applyFill="1" applyBorder="1" applyAlignment="1" applyProtection="1">
      <alignment horizontal="center" vertical="center" wrapText="1"/>
      <protection locked="0"/>
    </xf>
    <xf numFmtId="167" fontId="8" fillId="5" borderId="4" xfId="2" applyFont="1" applyFill="1" applyBorder="1" applyAlignment="1" applyProtection="1">
      <alignment horizontal="justify" vertical="center" wrapText="1"/>
      <protection locked="0"/>
    </xf>
    <xf numFmtId="168" fontId="10" fillId="0" borderId="4" xfId="5" applyNumberFormat="1" applyFont="1" applyFill="1" applyBorder="1" applyAlignment="1" applyProtection="1">
      <alignment horizontal="justify" vertical="center" wrapText="1"/>
    </xf>
    <xf numFmtId="0" fontId="37" fillId="2" borderId="0" xfId="0" applyFont="1" applyFill="1" applyAlignment="1">
      <alignment horizontal="left" vertical="center" wrapText="1"/>
    </xf>
    <xf numFmtId="0" fontId="8" fillId="2" borderId="0" xfId="0" applyFont="1" applyFill="1" applyAlignment="1">
      <alignment horizontal="justify" vertical="center" wrapText="1"/>
    </xf>
    <xf numFmtId="0" fontId="21" fillId="2" borderId="0" xfId="0" applyFont="1" applyFill="1" applyAlignment="1">
      <alignment vertical="center" wrapText="1"/>
    </xf>
    <xf numFmtId="0" fontId="10" fillId="8" borderId="2" xfId="0" applyFont="1" applyFill="1" applyBorder="1" applyAlignment="1">
      <alignment vertical="center" wrapText="1"/>
    </xf>
    <xf numFmtId="0" fontId="21" fillId="8" borderId="1" xfId="0" applyFont="1" applyFill="1" applyBorder="1" applyAlignment="1">
      <alignment vertical="center" wrapText="1"/>
    </xf>
    <xf numFmtId="0" fontId="37" fillId="8" borderId="11" xfId="0" applyFont="1" applyFill="1" applyBorder="1" applyAlignment="1">
      <alignment horizontal="left" vertical="center" wrapText="1"/>
    </xf>
    <xf numFmtId="0" fontId="21" fillId="8" borderId="12" xfId="0" applyFont="1" applyFill="1" applyBorder="1" applyAlignment="1">
      <alignment vertical="center" wrapText="1"/>
    </xf>
    <xf numFmtId="0" fontId="8" fillId="8" borderId="12" xfId="0" applyFont="1" applyFill="1" applyBorder="1" applyAlignment="1">
      <alignment horizontal="justify" vertical="center" wrapText="1"/>
    </xf>
    <xf numFmtId="0" fontId="8" fillId="8" borderId="14" xfId="0" applyFont="1" applyFill="1" applyBorder="1" applyAlignment="1">
      <alignment horizontal="justify" vertical="center" wrapText="1"/>
    </xf>
    <xf numFmtId="0" fontId="30" fillId="0" borderId="0" xfId="0" applyFont="1" applyAlignment="1">
      <alignment vertical="center"/>
    </xf>
    <xf numFmtId="0" fontId="15" fillId="8" borderId="5" xfId="0" applyFont="1" applyFill="1" applyBorder="1" applyAlignment="1">
      <alignment horizontal="center" vertical="center" wrapText="1"/>
    </xf>
    <xf numFmtId="0" fontId="33" fillId="0" borderId="0" xfId="0" applyFont="1" applyAlignment="1">
      <alignment horizontal="left" vertical="center"/>
    </xf>
    <xf numFmtId="0" fontId="7" fillId="5" borderId="4" xfId="0" applyFont="1" applyFill="1" applyBorder="1" applyAlignment="1">
      <alignment horizontal="left" vertical="center" wrapText="1" indent="1"/>
    </xf>
    <xf numFmtId="0" fontId="20" fillId="8" borderId="0" xfId="0" applyFont="1" applyFill="1" applyAlignment="1">
      <alignment vertical="center"/>
    </xf>
    <xf numFmtId="3" fontId="13" fillId="6" borderId="4" xfId="0" applyNumberFormat="1" applyFont="1" applyFill="1" applyBorder="1" applyAlignment="1">
      <alignment vertical="center"/>
    </xf>
    <xf numFmtId="165" fontId="41" fillId="6" borderId="18" xfId="3" applyFont="1" applyFill="1" applyBorder="1" applyAlignment="1" applyProtection="1">
      <alignment vertical="center"/>
    </xf>
    <xf numFmtId="9" fontId="41" fillId="6" borderId="18" xfId="8" applyFont="1" applyFill="1" applyBorder="1" applyAlignment="1" applyProtection="1">
      <alignment vertical="center"/>
    </xf>
    <xf numFmtId="165" fontId="13" fillId="10" borderId="4" xfId="3" applyFont="1" applyFill="1" applyBorder="1" applyAlignment="1" applyProtection="1">
      <alignment vertical="center"/>
    </xf>
    <xf numFmtId="165" fontId="41" fillId="6" borderId="4" xfId="3" applyFont="1" applyFill="1" applyBorder="1" applyAlignment="1" applyProtection="1">
      <alignment vertical="center"/>
    </xf>
    <xf numFmtId="9" fontId="41" fillId="6" borderId="4" xfId="8" applyFont="1" applyFill="1" applyBorder="1" applyAlignment="1" applyProtection="1">
      <alignment vertical="center"/>
    </xf>
    <xf numFmtId="0" fontId="11" fillId="0" borderId="0" xfId="0" applyFont="1"/>
    <xf numFmtId="0" fontId="14" fillId="8" borderId="0" xfId="0" applyFont="1" applyFill="1" applyAlignment="1">
      <alignment horizontal="center" vertical="center"/>
    </xf>
    <xf numFmtId="0" fontId="30" fillId="2" borderId="0" xfId="0" applyFont="1" applyFill="1" applyAlignment="1">
      <alignment vertical="center"/>
    </xf>
    <xf numFmtId="0" fontId="38" fillId="8" borderId="13" xfId="0" applyFont="1" applyFill="1" applyBorder="1" applyAlignment="1">
      <alignment vertical="center" wrapText="1"/>
    </xf>
    <xf numFmtId="0" fontId="30" fillId="8" borderId="69" xfId="0" applyFont="1" applyFill="1" applyBorder="1" applyAlignment="1">
      <alignment vertical="center"/>
    </xf>
    <xf numFmtId="0" fontId="30" fillId="8" borderId="64" xfId="0" applyFont="1" applyFill="1" applyBorder="1" applyAlignment="1">
      <alignment vertical="center"/>
    </xf>
    <xf numFmtId="0" fontId="30" fillId="8" borderId="70" xfId="0" applyFont="1" applyFill="1" applyBorder="1" applyAlignment="1">
      <alignment vertical="center"/>
    </xf>
    <xf numFmtId="0" fontId="30" fillId="0" borderId="28" xfId="0" applyFont="1" applyBorder="1" applyAlignment="1">
      <alignment vertical="center"/>
    </xf>
    <xf numFmtId="0" fontId="30" fillId="2" borderId="2" xfId="0" applyFont="1" applyFill="1" applyBorder="1" applyAlignment="1">
      <alignment vertical="center"/>
    </xf>
    <xf numFmtId="0" fontId="42" fillId="2" borderId="0" xfId="0" applyFont="1" applyFill="1" applyAlignment="1">
      <alignment vertical="center"/>
    </xf>
    <xf numFmtId="0" fontId="30" fillId="0" borderId="1" xfId="0" applyFont="1" applyBorder="1" applyAlignment="1">
      <alignment vertical="center"/>
    </xf>
    <xf numFmtId="0" fontId="30" fillId="8" borderId="2" xfId="0" applyFont="1" applyFill="1" applyBorder="1" applyAlignment="1">
      <alignment vertical="center"/>
    </xf>
    <xf numFmtId="0" fontId="42" fillId="8" borderId="58" xfId="0" applyFont="1" applyFill="1" applyBorder="1" applyAlignment="1">
      <alignment vertical="center"/>
    </xf>
    <xf numFmtId="0" fontId="30" fillId="8" borderId="60" xfId="0" applyFont="1" applyFill="1" applyBorder="1" applyAlignment="1">
      <alignment vertical="center"/>
    </xf>
    <xf numFmtId="0" fontId="30" fillId="8" borderId="1" xfId="0" applyFont="1" applyFill="1" applyBorder="1" applyAlignment="1">
      <alignment vertical="center"/>
    </xf>
    <xf numFmtId="0" fontId="30" fillId="8" borderId="26" xfId="0" applyFont="1" applyFill="1" applyBorder="1" applyAlignment="1">
      <alignment vertical="center"/>
    </xf>
    <xf numFmtId="0" fontId="38" fillId="8" borderId="59" xfId="0" applyFont="1" applyFill="1" applyBorder="1" applyAlignment="1">
      <alignment horizontal="center" vertical="center"/>
    </xf>
    <xf numFmtId="0" fontId="38" fillId="8" borderId="63" xfId="0" applyFont="1" applyFill="1" applyBorder="1" applyAlignment="1">
      <alignment horizontal="center" vertical="center"/>
    </xf>
    <xf numFmtId="0" fontId="30" fillId="8" borderId="0" xfId="0" applyFont="1" applyFill="1" applyAlignment="1">
      <alignment vertical="center"/>
    </xf>
    <xf numFmtId="0" fontId="28" fillId="0" borderId="0" xfId="0" applyFont="1" applyAlignment="1">
      <alignment vertical="center" wrapText="1"/>
    </xf>
    <xf numFmtId="0" fontId="30" fillId="8" borderId="71" xfId="0" applyFont="1" applyFill="1" applyBorder="1" applyAlignment="1">
      <alignment vertical="center"/>
    </xf>
    <xf numFmtId="0" fontId="39" fillId="5" borderId="31" xfId="0" applyFont="1" applyFill="1" applyBorder="1" applyAlignment="1">
      <alignment vertical="center"/>
    </xf>
    <xf numFmtId="168" fontId="39" fillId="5" borderId="30" xfId="0" applyNumberFormat="1" applyFont="1" applyFill="1" applyBorder="1" applyAlignment="1">
      <alignment horizontal="center" vertical="center"/>
    </xf>
    <xf numFmtId="0" fontId="39" fillId="5" borderId="31" xfId="0" applyFont="1" applyFill="1" applyBorder="1" applyAlignment="1">
      <alignment vertical="center" wrapText="1"/>
    </xf>
    <xf numFmtId="168" fontId="39" fillId="5" borderId="50" xfId="0" applyNumberFormat="1" applyFont="1" applyFill="1" applyBorder="1" applyAlignment="1">
      <alignment horizontal="center" vertical="center"/>
    </xf>
    <xf numFmtId="168" fontId="30" fillId="5" borderId="32" xfId="0" applyNumberFormat="1" applyFont="1" applyFill="1" applyBorder="1" applyAlignment="1" applyProtection="1">
      <alignment vertical="center"/>
      <protection locked="0"/>
    </xf>
    <xf numFmtId="0" fontId="30" fillId="8" borderId="0" xfId="0" applyFont="1" applyFill="1" applyAlignment="1">
      <alignment vertical="center" wrapText="1"/>
    </xf>
    <xf numFmtId="168" fontId="30" fillId="5" borderId="35" xfId="0" applyNumberFormat="1" applyFont="1" applyFill="1" applyBorder="1" applyAlignment="1" applyProtection="1">
      <alignment vertical="center"/>
      <protection locked="0"/>
    </xf>
    <xf numFmtId="0" fontId="39" fillId="5" borderId="33" xfId="0" applyFont="1" applyFill="1" applyBorder="1" applyAlignment="1">
      <alignment vertical="center"/>
    </xf>
    <xf numFmtId="168" fontId="30" fillId="5" borderId="34" xfId="0" applyNumberFormat="1" applyFont="1" applyFill="1" applyBorder="1" applyAlignment="1" applyProtection="1">
      <alignment vertical="center"/>
      <protection locked="0"/>
    </xf>
    <xf numFmtId="0" fontId="39" fillId="8" borderId="1" xfId="0" applyFont="1" applyFill="1" applyBorder="1" applyAlignment="1">
      <alignment horizontal="center" vertical="center" wrapText="1"/>
    </xf>
    <xf numFmtId="168" fontId="30" fillId="8" borderId="65" xfId="0" applyNumberFormat="1" applyFont="1" applyFill="1" applyBorder="1" applyAlignment="1">
      <alignment vertical="center"/>
    </xf>
    <xf numFmtId="168" fontId="30" fillId="8" borderId="66" xfId="0" applyNumberFormat="1" applyFont="1" applyFill="1" applyBorder="1" applyAlignment="1">
      <alignment vertical="center"/>
    </xf>
    <xf numFmtId="0" fontId="39" fillId="5" borderId="36" xfId="0" applyFont="1" applyFill="1" applyBorder="1" applyAlignment="1">
      <alignment vertical="center"/>
    </xf>
    <xf numFmtId="168" fontId="30" fillId="5" borderId="87" xfId="0" applyNumberFormat="1" applyFont="1" applyFill="1" applyBorder="1" applyAlignment="1">
      <alignment vertical="center"/>
    </xf>
    <xf numFmtId="168" fontId="39" fillId="0" borderId="0" xfId="0" applyNumberFormat="1" applyFont="1" applyAlignment="1">
      <alignment horizontal="center" vertical="center" wrapText="1"/>
    </xf>
    <xf numFmtId="168" fontId="30" fillId="5" borderId="0" xfId="0" applyNumberFormat="1" applyFont="1" applyFill="1" applyAlignment="1">
      <alignment vertical="center"/>
    </xf>
    <xf numFmtId="168" fontId="30" fillId="5" borderId="71" xfId="0" applyNumberFormat="1" applyFont="1" applyFill="1" applyBorder="1" applyAlignment="1" applyProtection="1">
      <alignment vertical="center"/>
      <protection locked="0"/>
    </xf>
    <xf numFmtId="0" fontId="39" fillId="5" borderId="37" xfId="0" applyFont="1" applyFill="1" applyBorder="1" applyAlignment="1">
      <alignment vertical="center"/>
    </xf>
    <xf numFmtId="168" fontId="30" fillId="5" borderId="88" xfId="0" applyNumberFormat="1" applyFont="1" applyFill="1" applyBorder="1" applyAlignment="1" applyProtection="1">
      <alignment vertical="center"/>
      <protection locked="0"/>
    </xf>
    <xf numFmtId="168" fontId="30" fillId="5" borderId="38" xfId="0" applyNumberFormat="1" applyFont="1" applyFill="1" applyBorder="1" applyAlignment="1" applyProtection="1">
      <alignment vertical="center"/>
      <protection locked="0"/>
    </xf>
    <xf numFmtId="168" fontId="39" fillId="8" borderId="1" xfId="0" applyNumberFormat="1" applyFont="1" applyFill="1" applyBorder="1" applyAlignment="1">
      <alignment vertical="center" wrapText="1"/>
    </xf>
    <xf numFmtId="168" fontId="30" fillId="8" borderId="67" xfId="0" applyNumberFormat="1" applyFont="1" applyFill="1" applyBorder="1" applyAlignment="1">
      <alignment vertical="center"/>
    </xf>
    <xf numFmtId="168" fontId="30" fillId="8" borderId="68" xfId="0" applyNumberFormat="1" applyFont="1" applyFill="1" applyBorder="1" applyAlignment="1">
      <alignment vertical="center"/>
    </xf>
    <xf numFmtId="0" fontId="39" fillId="8" borderId="4" xfId="0" applyFont="1" applyFill="1" applyBorder="1" applyAlignment="1">
      <alignment horizontal="center" vertical="center"/>
    </xf>
    <xf numFmtId="0" fontId="39" fillId="8" borderId="4" xfId="0" applyFont="1" applyFill="1" applyBorder="1" applyAlignment="1">
      <alignment horizontal="center" vertical="center" wrapText="1"/>
    </xf>
    <xf numFmtId="168" fontId="39" fillId="8" borderId="4" xfId="0" applyNumberFormat="1" applyFont="1" applyFill="1" applyBorder="1" applyAlignment="1">
      <alignment horizontal="center" vertical="center" wrapText="1"/>
    </xf>
    <xf numFmtId="168" fontId="39" fillId="8" borderId="0" xfId="0" applyNumberFormat="1" applyFont="1" applyFill="1" applyAlignment="1">
      <alignment vertical="center" wrapText="1"/>
    </xf>
    <xf numFmtId="0" fontId="30" fillId="8" borderId="16" xfId="0" applyFont="1" applyFill="1" applyBorder="1" applyAlignment="1">
      <alignment vertical="center"/>
    </xf>
    <xf numFmtId="0" fontId="30" fillId="8" borderId="11" xfId="0" applyFont="1" applyFill="1" applyBorder="1" applyAlignment="1">
      <alignment vertical="center"/>
    </xf>
    <xf numFmtId="0" fontId="38" fillId="8" borderId="12" xfId="0" applyFont="1" applyFill="1" applyBorder="1" applyAlignment="1">
      <alignment vertical="center" wrapText="1"/>
    </xf>
    <xf numFmtId="168" fontId="39" fillId="8" borderId="14" xfId="0" applyNumberFormat="1" applyFont="1" applyFill="1" applyBorder="1" applyAlignment="1">
      <alignment vertical="center" wrapText="1"/>
    </xf>
    <xf numFmtId="0" fontId="40" fillId="0" borderId="0" xfId="0" applyFont="1" applyAlignment="1">
      <alignment vertical="center"/>
    </xf>
    <xf numFmtId="0" fontId="40" fillId="0" borderId="9" xfId="0" applyFont="1" applyBorder="1" applyAlignment="1">
      <alignment vertical="center"/>
    </xf>
    <xf numFmtId="0" fontId="40" fillId="0" borderId="3" xfId="0" applyFont="1" applyBorder="1" applyAlignment="1">
      <alignment horizontal="center" vertical="center" wrapText="1"/>
    </xf>
    <xf numFmtId="9" fontId="40" fillId="0" borderId="0" xfId="8" applyFont="1" applyFill="1" applyAlignment="1" applyProtection="1">
      <alignment horizontal="center" vertical="center" wrapText="1"/>
    </xf>
    <xf numFmtId="0" fontId="38" fillId="8" borderId="0" xfId="0" applyFont="1" applyFill="1" applyAlignment="1">
      <alignment horizontal="center" vertical="center"/>
    </xf>
    <xf numFmtId="0" fontId="40" fillId="0" borderId="0" xfId="0" applyFont="1" applyAlignment="1">
      <alignment horizontal="center" vertical="center"/>
    </xf>
    <xf numFmtId="0" fontId="38" fillId="0" borderId="0" xfId="0" applyFont="1" applyAlignment="1">
      <alignment horizontal="center" vertical="center"/>
    </xf>
    <xf numFmtId="0" fontId="38" fillId="8" borderId="121" xfId="0" applyFont="1" applyFill="1" applyBorder="1" applyAlignment="1">
      <alignment horizontal="center" vertical="center"/>
    </xf>
    <xf numFmtId="0" fontId="38" fillId="8" borderId="76" xfId="0" applyFont="1" applyFill="1" applyBorder="1" applyAlignment="1">
      <alignment horizontal="center" vertical="center" wrapText="1"/>
    </xf>
    <xf numFmtId="0" fontId="38" fillId="8" borderId="74" xfId="0" applyFont="1" applyFill="1" applyBorder="1" applyAlignment="1">
      <alignment horizontal="center" vertical="center" wrapText="1"/>
    </xf>
    <xf numFmtId="0" fontId="38" fillId="8" borderId="75" xfId="0" applyFont="1" applyFill="1" applyBorder="1" applyAlignment="1">
      <alignment horizontal="center" vertical="center" wrapText="1"/>
    </xf>
    <xf numFmtId="0" fontId="29" fillId="5" borderId="47" xfId="0" applyFont="1" applyFill="1" applyBorder="1" applyAlignment="1">
      <alignment horizontal="left" vertical="center" wrapText="1"/>
    </xf>
    <xf numFmtId="168" fontId="38" fillId="8" borderId="89" xfId="0" applyNumberFormat="1" applyFont="1" applyFill="1" applyBorder="1" applyAlignment="1">
      <alignment vertical="center" wrapText="1"/>
    </xf>
    <xf numFmtId="168" fontId="28" fillId="1" borderId="49" xfId="0" applyNumberFormat="1" applyFont="1" applyFill="1" applyBorder="1" applyAlignment="1">
      <alignment horizontal="center" vertical="center" wrapText="1"/>
    </xf>
    <xf numFmtId="168" fontId="28" fillId="5" borderId="51" xfId="0" applyNumberFormat="1" applyFont="1" applyFill="1" applyBorder="1" applyAlignment="1" applyProtection="1">
      <alignment vertical="center" wrapText="1"/>
      <protection locked="0"/>
    </xf>
    <xf numFmtId="0" fontId="29" fillId="5" borderId="42" xfId="0" applyFont="1" applyFill="1" applyBorder="1" applyAlignment="1">
      <alignment horizontal="left" vertical="center" wrapText="1"/>
    </xf>
    <xf numFmtId="168" fontId="38" fillId="8" borderId="90" xfId="0" applyNumberFormat="1" applyFont="1" applyFill="1" applyBorder="1" applyAlignment="1">
      <alignment vertical="center" wrapText="1"/>
    </xf>
    <xf numFmtId="168" fontId="28" fillId="1" borderId="29" xfId="0" applyNumberFormat="1" applyFont="1" applyFill="1" applyBorder="1" applyAlignment="1">
      <alignment horizontal="center" vertical="center" wrapText="1"/>
    </xf>
    <xf numFmtId="168" fontId="28" fillId="5" borderId="29" xfId="5" applyNumberFormat="1" applyFont="1" applyFill="1" applyBorder="1" applyAlignment="1" applyProtection="1">
      <alignment horizontal="center" vertical="center" wrapText="1"/>
      <protection locked="0"/>
    </xf>
    <xf numFmtId="168" fontId="38" fillId="8" borderId="90" xfId="0" applyNumberFormat="1" applyFont="1" applyFill="1" applyBorder="1" applyAlignment="1">
      <alignment horizontal="center" vertical="center" wrapText="1"/>
    </xf>
    <xf numFmtId="168" fontId="38" fillId="8" borderId="90" xfId="5" applyNumberFormat="1" applyFont="1" applyFill="1" applyBorder="1" applyAlignment="1" applyProtection="1">
      <alignment horizontal="left" vertical="center" wrapText="1"/>
    </xf>
    <xf numFmtId="0" fontId="29" fillId="5" borderId="43" xfId="0" applyFont="1" applyFill="1" applyBorder="1" applyAlignment="1">
      <alignment horizontal="left" vertical="center" wrapText="1"/>
    </xf>
    <xf numFmtId="168" fontId="38" fillId="8" borderId="91" xfId="5" applyNumberFormat="1" applyFont="1" applyFill="1" applyBorder="1" applyAlignment="1" applyProtection="1">
      <alignment horizontal="left" vertical="center" wrapText="1"/>
    </xf>
    <xf numFmtId="168" fontId="28" fillId="5" borderId="77" xfId="0" applyNumberFormat="1" applyFont="1" applyFill="1" applyBorder="1" applyAlignment="1" applyProtection="1">
      <alignment vertical="center" wrapText="1"/>
      <protection locked="0"/>
    </xf>
    <xf numFmtId="168" fontId="28" fillId="5" borderId="39" xfId="5" applyNumberFormat="1" applyFont="1" applyFill="1" applyBorder="1" applyAlignment="1" applyProtection="1">
      <alignment horizontal="center" vertical="center" wrapText="1"/>
      <protection locked="0"/>
    </xf>
    <xf numFmtId="0" fontId="38" fillId="8" borderId="79" xfId="0" applyFont="1" applyFill="1" applyBorder="1" applyAlignment="1">
      <alignment horizontal="center" vertical="center"/>
    </xf>
    <xf numFmtId="168" fontId="38" fillId="8" borderId="72" xfId="0" applyNumberFormat="1" applyFont="1" applyFill="1" applyBorder="1" applyAlignment="1">
      <alignment horizontal="center" vertical="center" wrapText="1"/>
    </xf>
    <xf numFmtId="168" fontId="38" fillId="8" borderId="73" xfId="0" applyNumberFormat="1" applyFont="1" applyFill="1" applyBorder="1" applyAlignment="1">
      <alignment horizontal="center" vertical="center" wrapText="1"/>
    </xf>
    <xf numFmtId="0" fontId="6" fillId="5" borderId="4" xfId="0" applyFont="1" applyFill="1" applyBorder="1" applyAlignment="1">
      <alignment horizontal="left" vertical="center" indent="1"/>
    </xf>
    <xf numFmtId="0" fontId="19" fillId="0" borderId="0" xfId="0" applyFont="1" applyAlignment="1">
      <alignment vertical="center"/>
    </xf>
    <xf numFmtId="0" fontId="7"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165" fontId="11" fillId="0" borderId="0" xfId="3" applyFont="1" applyFill="1" applyAlignment="1">
      <alignment vertical="center"/>
    </xf>
    <xf numFmtId="0" fontId="26" fillId="7" borderId="4" xfId="0" applyFont="1" applyFill="1" applyBorder="1" applyAlignment="1">
      <alignment vertical="center" wrapText="1"/>
    </xf>
    <xf numFmtId="169" fontId="11" fillId="0" borderId="4" xfId="3" applyNumberFormat="1" applyFont="1" applyFill="1" applyBorder="1" applyAlignment="1">
      <alignment vertical="center"/>
    </xf>
    <xf numFmtId="165" fontId="11" fillId="0" borderId="4" xfId="3" applyFont="1" applyFill="1" applyBorder="1" applyAlignment="1">
      <alignment vertical="center"/>
    </xf>
    <xf numFmtId="0" fontId="11" fillId="0" borderId="4" xfId="0" applyFont="1" applyBorder="1" applyAlignment="1">
      <alignment vertical="center"/>
    </xf>
    <xf numFmtId="165" fontId="13" fillId="0" borderId="4" xfId="0" applyNumberFormat="1" applyFont="1" applyBorder="1" applyAlignment="1">
      <alignment vertical="center"/>
    </xf>
    <xf numFmtId="0" fontId="11" fillId="0" borderId="4" xfId="0" applyFont="1" applyBorder="1" applyAlignment="1">
      <alignment vertical="center" wrapText="1"/>
    </xf>
    <xf numFmtId="0" fontId="21" fillId="8" borderId="0" xfId="0" applyFont="1" applyFill="1" applyAlignment="1">
      <alignment vertical="center" wrapText="1"/>
    </xf>
    <xf numFmtId="0" fontId="46" fillId="8" borderId="0" xfId="0" applyFont="1" applyFill="1" applyAlignment="1">
      <alignment vertical="center"/>
    </xf>
    <xf numFmtId="0" fontId="22" fillId="5" borderId="4" xfId="0" applyFont="1" applyFill="1" applyBorder="1" applyAlignment="1">
      <alignment horizontal="center" vertical="center" wrapText="1"/>
    </xf>
    <xf numFmtId="164" fontId="22" fillId="5" borderId="4" xfId="6" applyFont="1" applyFill="1" applyBorder="1" applyAlignment="1" applyProtection="1">
      <alignment vertical="center" wrapText="1"/>
    </xf>
    <xf numFmtId="0" fontId="10" fillId="0" borderId="0" xfId="0" applyFont="1" applyAlignment="1">
      <alignment vertical="center"/>
    </xf>
    <xf numFmtId="0" fontId="10" fillId="0" borderId="5" xfId="0" applyFont="1" applyBorder="1" applyAlignment="1">
      <alignment vertical="center" wrapText="1"/>
    </xf>
    <xf numFmtId="0" fontId="8" fillId="0" borderId="6" xfId="0" applyFont="1" applyBorder="1" applyAlignment="1">
      <alignment horizontal="justify" vertical="center" wrapText="1"/>
    </xf>
    <xf numFmtId="0" fontId="21"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5" fillId="8" borderId="0" xfId="0" applyFont="1" applyFill="1" applyAlignment="1">
      <alignment vertical="center" wrapText="1"/>
    </xf>
    <xf numFmtId="0" fontId="45" fillId="0" borderId="0" xfId="0" applyFont="1" applyAlignment="1">
      <alignment vertical="center" wrapText="1"/>
    </xf>
    <xf numFmtId="0" fontId="0" fillId="0" borderId="0" xfId="0" applyAlignment="1">
      <alignment horizontal="justify" vertical="center" wrapText="1"/>
    </xf>
    <xf numFmtId="0" fontId="48" fillId="12" borderId="4" xfId="0" applyFont="1" applyFill="1" applyBorder="1" applyAlignment="1" applyProtection="1">
      <alignment horizontal="justify" vertical="center" wrapText="1"/>
      <protection locked="0"/>
    </xf>
    <xf numFmtId="0" fontId="10" fillId="6" borderId="4" xfId="0" applyFont="1" applyFill="1" applyBorder="1" applyAlignment="1">
      <alignment vertical="center"/>
    </xf>
    <xf numFmtId="164" fontId="10" fillId="6" borderId="8" xfId="6" applyFont="1" applyFill="1" applyBorder="1" applyAlignment="1">
      <alignment vertical="center"/>
    </xf>
    <xf numFmtId="164" fontId="10" fillId="6" borderId="6" xfId="6" applyFont="1" applyFill="1" applyBorder="1" applyAlignment="1">
      <alignment vertical="center"/>
    </xf>
    <xf numFmtId="164" fontId="10" fillId="6" borderId="7" xfId="6" applyFont="1" applyFill="1" applyBorder="1" applyAlignment="1">
      <alignment vertical="center"/>
    </xf>
    <xf numFmtId="164" fontId="8" fillId="0" borderId="0" xfId="6" applyFont="1" applyAlignment="1">
      <alignment vertical="center"/>
    </xf>
    <xf numFmtId="0" fontId="10" fillId="6" borderId="8" xfId="0" applyFont="1" applyFill="1" applyBorder="1" applyAlignment="1">
      <alignment vertical="center"/>
    </xf>
    <xf numFmtId="164" fontId="50" fillId="0" borderId="0" xfId="6" applyFont="1" applyAlignment="1">
      <alignment vertical="center"/>
    </xf>
    <xf numFmtId="164" fontId="46" fillId="0" borderId="0" xfId="6" applyFont="1" applyBorder="1" applyAlignment="1">
      <alignment vertical="center"/>
    </xf>
    <xf numFmtId="164" fontId="8" fillId="0" borderId="0" xfId="6" applyFont="1" applyAlignment="1">
      <alignment horizontal="right" vertical="center"/>
    </xf>
    <xf numFmtId="164" fontId="46" fillId="0" borderId="0" xfId="6" applyFont="1" applyAlignment="1">
      <alignment vertical="center"/>
    </xf>
    <xf numFmtId="164" fontId="8" fillId="0" borderId="0" xfId="6" applyFont="1" applyBorder="1" applyAlignment="1">
      <alignment vertical="center"/>
    </xf>
    <xf numFmtId="10" fontId="8" fillId="0" borderId="0" xfId="8" applyNumberFormat="1" applyFont="1" applyBorder="1" applyAlignment="1">
      <alignment vertical="center"/>
    </xf>
    <xf numFmtId="0" fontId="6" fillId="5" borderId="4" xfId="0" applyFont="1" applyFill="1" applyBorder="1" applyAlignment="1">
      <alignment horizontal="left" vertical="center" wrapText="1" indent="1"/>
    </xf>
    <xf numFmtId="0" fontId="52" fillId="5" borderId="4" xfId="0" applyFont="1" applyFill="1" applyBorder="1" applyAlignment="1">
      <alignment horizontal="left" vertical="center" wrapText="1" indent="1"/>
    </xf>
    <xf numFmtId="0" fontId="29" fillId="5" borderId="60" xfId="0" applyFont="1" applyFill="1" applyBorder="1" applyAlignment="1">
      <alignment vertical="center"/>
    </xf>
    <xf numFmtId="168" fontId="25" fillId="0" borderId="0" xfId="0" applyNumberFormat="1" applyFont="1" applyAlignment="1">
      <alignment vertical="center" wrapText="1"/>
    </xf>
    <xf numFmtId="0" fontId="12" fillId="8" borderId="74" xfId="5" applyNumberFormat="1" applyFont="1" applyFill="1" applyBorder="1" applyAlignment="1" applyProtection="1">
      <alignment horizontal="left" vertical="center" wrapText="1"/>
    </xf>
    <xf numFmtId="0" fontId="24" fillId="0" borderId="0" xfId="0" applyFont="1" applyAlignment="1">
      <alignment vertical="center" wrapText="1"/>
    </xf>
    <xf numFmtId="0" fontId="24" fillId="0" borderId="4" xfId="0" applyFont="1" applyBorder="1" applyAlignment="1">
      <alignment vertical="center" wrapText="1"/>
    </xf>
    <xf numFmtId="165" fontId="11" fillId="0" borderId="4" xfId="3" applyFont="1" applyBorder="1" applyAlignment="1">
      <alignment vertical="center"/>
    </xf>
    <xf numFmtId="169" fontId="13" fillId="10" borderId="4" xfId="3" applyNumberFormat="1" applyFont="1" applyFill="1" applyBorder="1" applyAlignment="1">
      <alignment vertical="center"/>
    </xf>
    <xf numFmtId="165" fontId="13" fillId="10" borderId="4" xfId="3" applyFont="1" applyFill="1" applyBorder="1" applyAlignment="1">
      <alignment vertical="center"/>
    </xf>
    <xf numFmtId="0" fontId="25" fillId="0" borderId="4" xfId="0" applyFont="1" applyBorder="1" applyAlignment="1">
      <alignment horizontal="center" vertical="center" wrapText="1"/>
    </xf>
    <xf numFmtId="0" fontId="13" fillId="10" borderId="4" xfId="0" applyFont="1" applyFill="1" applyBorder="1" applyAlignment="1">
      <alignment horizontal="center" vertical="center" wrapText="1"/>
    </xf>
    <xf numFmtId="169" fontId="13" fillId="10" borderId="4" xfId="3" applyNumberFormat="1" applyFont="1" applyFill="1" applyBorder="1" applyAlignment="1">
      <alignment horizontal="center" vertical="center" wrapText="1"/>
    </xf>
    <xf numFmtId="165" fontId="13" fillId="10" borderId="4" xfId="3" applyFont="1" applyFill="1" applyBorder="1" applyAlignment="1">
      <alignment horizontal="center" vertical="center" wrapText="1"/>
    </xf>
    <xf numFmtId="165" fontId="13" fillId="10" borderId="4" xfId="3" applyFont="1" applyFill="1" applyBorder="1" applyAlignment="1">
      <alignment horizontal="center" vertical="center"/>
    </xf>
    <xf numFmtId="165" fontId="13" fillId="13" borderId="4" xfId="3" applyFont="1" applyFill="1" applyBorder="1" applyAlignment="1">
      <alignment horizontal="center" vertical="center"/>
    </xf>
    <xf numFmtId="0" fontId="13" fillId="14" borderId="4" xfId="0" applyFont="1" applyFill="1" applyBorder="1" applyAlignment="1">
      <alignment horizontal="center" vertical="center" wrapText="1"/>
    </xf>
    <xf numFmtId="169" fontId="13" fillId="14" borderId="4" xfId="3" applyNumberFormat="1" applyFont="1" applyFill="1" applyBorder="1" applyAlignment="1">
      <alignment horizontal="center" vertical="center" wrapText="1"/>
    </xf>
    <xf numFmtId="165" fontId="13" fillId="14" borderId="4" xfId="3" applyFont="1" applyFill="1" applyBorder="1" applyAlignment="1">
      <alignment horizontal="center" vertical="center" wrapText="1"/>
    </xf>
    <xf numFmtId="165" fontId="13" fillId="14" borderId="4" xfId="3" applyFont="1" applyFill="1" applyBorder="1" applyAlignment="1">
      <alignment horizontal="center" vertical="center"/>
    </xf>
    <xf numFmtId="169" fontId="13" fillId="14" borderId="4" xfId="3" applyNumberFormat="1" applyFont="1" applyFill="1" applyBorder="1" applyAlignment="1">
      <alignment vertical="center"/>
    </xf>
    <xf numFmtId="165" fontId="13" fillId="14" borderId="4" xfId="3" applyFont="1" applyFill="1" applyBorder="1" applyAlignment="1">
      <alignment vertical="center"/>
    </xf>
    <xf numFmtId="0" fontId="13" fillId="14" borderId="4" xfId="0" applyFont="1" applyFill="1" applyBorder="1" applyAlignment="1">
      <alignment horizontal="center" vertical="center"/>
    </xf>
    <xf numFmtId="0" fontId="13" fillId="13" borderId="4" xfId="0" applyFont="1" applyFill="1" applyBorder="1" applyAlignment="1">
      <alignment horizontal="center" vertical="center"/>
    </xf>
    <xf numFmtId="169" fontId="13" fillId="13" borderId="4" xfId="3" applyNumberFormat="1" applyFont="1" applyFill="1" applyBorder="1" applyAlignment="1">
      <alignment vertical="center"/>
    </xf>
    <xf numFmtId="165" fontId="13" fillId="13" borderId="4" xfId="3" applyFont="1" applyFill="1" applyBorder="1" applyAlignment="1">
      <alignment vertical="center"/>
    </xf>
    <xf numFmtId="168" fontId="54" fillId="5" borderId="7" xfId="0" applyNumberFormat="1" applyFont="1" applyFill="1" applyBorder="1" applyAlignment="1" applyProtection="1">
      <alignment horizontal="center" vertical="center"/>
      <protection locked="0"/>
    </xf>
    <xf numFmtId="0" fontId="27" fillId="8" borderId="15" xfId="0" applyFont="1" applyFill="1" applyBorder="1" applyAlignment="1">
      <alignment horizontal="center" vertical="center"/>
    </xf>
    <xf numFmtId="168" fontId="27" fillId="8" borderId="134" xfId="0" applyNumberFormat="1" applyFont="1" applyFill="1" applyBorder="1" applyAlignment="1">
      <alignment horizontal="center" vertical="center" wrapText="1"/>
    </xf>
    <xf numFmtId="168" fontId="27" fillId="8" borderId="135" xfId="0" applyNumberFormat="1" applyFont="1" applyFill="1" applyBorder="1" applyAlignment="1">
      <alignment horizontal="center" vertical="center" wrapText="1"/>
    </xf>
    <xf numFmtId="168" fontId="27" fillId="8" borderId="136" xfId="0" applyNumberFormat="1" applyFont="1" applyFill="1" applyBorder="1" applyAlignment="1">
      <alignment horizontal="center" vertical="center" wrapText="1"/>
    </xf>
    <xf numFmtId="0" fontId="23" fillId="0" borderId="0" xfId="0" applyFont="1" applyAlignment="1">
      <alignment vertical="center"/>
    </xf>
    <xf numFmtId="0" fontId="23" fillId="0" borderId="9" xfId="0" applyFont="1" applyBorder="1" applyAlignment="1">
      <alignment vertical="center"/>
    </xf>
    <xf numFmtId="0" fontId="23" fillId="0" borderId="0" xfId="0" applyFont="1" applyAlignment="1">
      <alignment horizontal="center" vertical="center" wrapText="1"/>
    </xf>
    <xf numFmtId="0" fontId="15" fillId="8" borderId="134" xfId="0" applyFont="1" applyFill="1" applyBorder="1" applyAlignment="1">
      <alignment horizontal="center" vertical="center"/>
    </xf>
    <xf numFmtId="0" fontId="15" fillId="8" borderId="136" xfId="0" applyFont="1" applyFill="1" applyBorder="1" applyAlignment="1">
      <alignment horizontal="center" vertical="center" wrapText="1"/>
    </xf>
    <xf numFmtId="0" fontId="15" fillId="8" borderId="131" xfId="0" applyFont="1" applyFill="1" applyBorder="1" applyAlignment="1">
      <alignment horizontal="center" vertical="center" wrapText="1"/>
    </xf>
    <xf numFmtId="0" fontId="6" fillId="5" borderId="11" xfId="0" applyFont="1" applyFill="1" applyBorder="1" applyAlignment="1">
      <alignment horizontal="left" vertical="center" wrapText="1"/>
    </xf>
    <xf numFmtId="168" fontId="0" fillId="0" borderId="0" xfId="0" applyNumberFormat="1" applyAlignment="1">
      <alignment vertical="center"/>
    </xf>
    <xf numFmtId="0" fontId="6" fillId="5" borderId="8" xfId="0" applyFont="1" applyFill="1" applyBorder="1" applyAlignment="1">
      <alignment horizontal="left" vertical="center" wrapText="1"/>
    </xf>
    <xf numFmtId="9" fontId="0" fillId="0" borderId="0" xfId="8" applyFont="1" applyFill="1" applyAlignment="1" applyProtection="1">
      <alignment vertical="center"/>
    </xf>
    <xf numFmtId="0" fontId="6" fillId="5" borderId="13" xfId="0" applyFont="1" applyFill="1" applyBorder="1" applyAlignment="1">
      <alignment horizontal="left" vertical="center" wrapText="1"/>
    </xf>
    <xf numFmtId="0" fontId="23" fillId="0" borderId="3" xfId="0" applyFont="1" applyBorder="1" applyAlignment="1">
      <alignment horizontal="center" vertical="center" wrapText="1"/>
    </xf>
    <xf numFmtId="9" fontId="23" fillId="0" borderId="0" xfId="8" applyFont="1" applyFill="1" applyAlignment="1" applyProtection="1">
      <alignment horizontal="center" vertical="center" wrapText="1"/>
    </xf>
    <xf numFmtId="0" fontId="15" fillId="8" borderId="132" xfId="0" applyFont="1" applyFill="1" applyBorder="1" applyAlignment="1">
      <alignment horizontal="center" vertical="center" wrapText="1"/>
    </xf>
    <xf numFmtId="168" fontId="27" fillId="8" borderId="137" xfId="0" applyNumberFormat="1" applyFont="1" applyFill="1" applyBorder="1" applyAlignment="1">
      <alignment vertical="center" wrapText="1"/>
    </xf>
    <xf numFmtId="168" fontId="56" fillId="5" borderId="18" xfId="0" applyNumberFormat="1" applyFont="1" applyFill="1" applyBorder="1" applyAlignment="1">
      <alignment vertical="center" wrapText="1"/>
    </xf>
    <xf numFmtId="168" fontId="56" fillId="1" borderId="138" xfId="0" applyNumberFormat="1" applyFont="1" applyFill="1" applyBorder="1" applyAlignment="1">
      <alignment horizontal="center" vertical="center" wrapText="1"/>
    </xf>
    <xf numFmtId="168" fontId="27" fillId="8" borderId="128" xfId="0" applyNumberFormat="1" applyFont="1" applyFill="1" applyBorder="1" applyAlignment="1">
      <alignment vertical="center" wrapText="1"/>
    </xf>
    <xf numFmtId="168" fontId="56" fillId="5" borderId="4" xfId="0" applyNumberFormat="1" applyFont="1" applyFill="1" applyBorder="1" applyAlignment="1">
      <alignment vertical="center" wrapText="1"/>
    </xf>
    <xf numFmtId="168" fontId="56" fillId="1" borderId="129" xfId="0" applyNumberFormat="1" applyFont="1" applyFill="1" applyBorder="1" applyAlignment="1">
      <alignment horizontal="center" vertical="center" wrapText="1"/>
    </xf>
    <xf numFmtId="168" fontId="56" fillId="5" borderId="129" xfId="5" applyNumberFormat="1" applyFont="1" applyFill="1" applyBorder="1" applyAlignment="1" applyProtection="1">
      <alignment horizontal="center" vertical="center" wrapText="1"/>
    </xf>
    <xf numFmtId="168" fontId="27" fillId="8" borderId="128" xfId="0" applyNumberFormat="1" applyFont="1" applyFill="1" applyBorder="1" applyAlignment="1">
      <alignment horizontal="center" vertical="center" wrapText="1"/>
    </xf>
    <xf numFmtId="168" fontId="27" fillId="8" borderId="128" xfId="5" applyNumberFormat="1" applyFont="1" applyFill="1" applyBorder="1" applyAlignment="1" applyProtection="1">
      <alignment horizontal="left" vertical="center" wrapText="1"/>
    </xf>
    <xf numFmtId="168" fontId="56" fillId="1" borderId="4" xfId="0" applyNumberFormat="1" applyFont="1" applyFill="1" applyBorder="1" applyAlignment="1">
      <alignment horizontal="center" vertical="center" wrapText="1"/>
    </xf>
    <xf numFmtId="168" fontId="27" fillId="8" borderId="133" xfId="5" applyNumberFormat="1" applyFont="1" applyFill="1" applyBorder="1" applyAlignment="1" applyProtection="1">
      <alignment horizontal="left" vertical="center" wrapText="1"/>
    </xf>
    <xf numFmtId="168" fontId="56" fillId="1" borderId="17"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45" fillId="5" borderId="4" xfId="0" applyFont="1" applyFill="1" applyBorder="1" applyAlignment="1">
      <alignment horizontal="justify" vertical="center" wrapText="1"/>
    </xf>
    <xf numFmtId="168" fontId="10" fillId="0" borderId="8" xfId="5" applyNumberFormat="1" applyFont="1" applyFill="1" applyBorder="1" applyAlignment="1" applyProtection="1">
      <alignment horizontal="justify" vertical="center" wrapText="1"/>
    </xf>
    <xf numFmtId="0" fontId="6" fillId="5" borderId="4" xfId="0" applyFont="1" applyFill="1" applyBorder="1" applyAlignment="1">
      <alignment horizontal="left" vertical="center" wrapText="1"/>
    </xf>
    <xf numFmtId="0" fontId="8" fillId="5" borderId="139" xfId="2" applyNumberFormat="1" applyFont="1" applyFill="1" applyBorder="1" applyAlignment="1" applyProtection="1">
      <alignment horizontal="center" vertical="center" wrapText="1"/>
      <protection locked="0"/>
    </xf>
    <xf numFmtId="167" fontId="8" fillId="5" borderId="139" xfId="2" applyFont="1" applyFill="1" applyBorder="1" applyAlignment="1" applyProtection="1">
      <alignment horizontal="justify" vertical="center" wrapText="1"/>
      <protection locked="0"/>
    </xf>
    <xf numFmtId="168" fontId="10" fillId="0" borderId="139" xfId="5" applyNumberFormat="1" applyFont="1" applyFill="1" applyBorder="1" applyAlignment="1" applyProtection="1">
      <alignment horizontal="justify" vertical="center" wrapText="1"/>
    </xf>
    <xf numFmtId="0" fontId="8" fillId="5" borderId="140" xfId="2" applyNumberFormat="1" applyFont="1" applyFill="1" applyBorder="1" applyAlignment="1" applyProtection="1">
      <alignment horizontal="center" vertical="center" wrapText="1"/>
      <protection locked="0"/>
    </xf>
    <xf numFmtId="167" fontId="8" fillId="5" borderId="140" xfId="2" applyFont="1" applyFill="1" applyBorder="1" applyAlignment="1" applyProtection="1">
      <alignment horizontal="justify" vertical="center" wrapText="1"/>
      <protection locked="0"/>
    </xf>
    <xf numFmtId="168" fontId="10" fillId="0" borderId="140" xfId="5" applyNumberFormat="1" applyFont="1" applyFill="1" applyBorder="1" applyAlignment="1" applyProtection="1">
      <alignment horizontal="justify" vertical="center" wrapText="1"/>
    </xf>
    <xf numFmtId="0" fontId="8" fillId="5" borderId="141" xfId="2" applyNumberFormat="1" applyFont="1" applyFill="1" applyBorder="1" applyAlignment="1" applyProtection="1">
      <alignment horizontal="center" vertical="center" wrapText="1"/>
      <protection locked="0"/>
    </xf>
    <xf numFmtId="167" fontId="8" fillId="5" borderId="141" xfId="2" applyFont="1" applyFill="1" applyBorder="1" applyAlignment="1" applyProtection="1">
      <alignment horizontal="justify" vertical="center" wrapText="1"/>
      <protection locked="0"/>
    </xf>
    <xf numFmtId="168" fontId="10" fillId="0" borderId="141" xfId="5" applyNumberFormat="1" applyFont="1" applyFill="1" applyBorder="1" applyAlignment="1" applyProtection="1">
      <alignment horizontal="justify" vertical="center" wrapText="1"/>
    </xf>
    <xf numFmtId="168" fontId="10" fillId="5" borderId="144" xfId="5" applyNumberFormat="1" applyFont="1" applyFill="1" applyBorder="1" applyAlignment="1" applyProtection="1">
      <alignment horizontal="left" vertical="center" wrapText="1"/>
      <protection locked="0"/>
    </xf>
    <xf numFmtId="168" fontId="10" fillId="5" borderId="145" xfId="5" applyNumberFormat="1" applyFont="1" applyFill="1" applyBorder="1" applyAlignment="1" applyProtection="1">
      <alignment horizontal="left" vertical="center" wrapText="1"/>
      <protection locked="0"/>
    </xf>
    <xf numFmtId="168" fontId="10" fillId="5" borderId="146" xfId="5" applyNumberFormat="1" applyFont="1" applyFill="1" applyBorder="1" applyAlignment="1" applyProtection="1">
      <alignment horizontal="left" vertical="center" wrapText="1"/>
      <protection locked="0"/>
    </xf>
    <xf numFmtId="168" fontId="10" fillId="5" borderId="147" xfId="5" applyNumberFormat="1" applyFont="1" applyFill="1" applyBorder="1" applyAlignment="1" applyProtection="1">
      <alignment horizontal="left" vertical="center" wrapText="1"/>
      <protection locked="0"/>
    </xf>
    <xf numFmtId="0" fontId="45" fillId="5" borderId="4" xfId="0" applyFont="1" applyFill="1" applyBorder="1" applyAlignment="1">
      <alignment horizontal="justify" vertical="center"/>
    </xf>
    <xf numFmtId="0" fontId="8" fillId="0" borderId="0" xfId="0" applyFont="1" applyAlignment="1">
      <alignment horizontal="left" vertical="center" wrapText="1"/>
    </xf>
    <xf numFmtId="0" fontId="47" fillId="11" borderId="2" xfId="0" applyFont="1" applyFill="1" applyBorder="1" applyAlignment="1" applyProtection="1">
      <alignment horizontal="justify" vertical="top" wrapText="1"/>
      <protection locked="0"/>
    </xf>
    <xf numFmtId="0" fontId="47" fillId="11" borderId="0" xfId="0" applyFont="1" applyFill="1" applyAlignment="1" applyProtection="1">
      <alignment horizontal="justify" vertical="top" wrapText="1"/>
      <protection locked="0"/>
    </xf>
    <xf numFmtId="0" fontId="22" fillId="4" borderId="13"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47" fillId="11" borderId="8" xfId="0" applyFont="1" applyFill="1" applyBorder="1" applyAlignment="1" applyProtection="1">
      <alignment horizontal="left" vertical="center" wrapText="1"/>
      <protection locked="0"/>
    </xf>
    <xf numFmtId="0" fontId="47" fillId="11" borderId="6" xfId="0" applyFont="1" applyFill="1" applyBorder="1" applyAlignment="1" applyProtection="1">
      <alignment horizontal="left" vertical="center" wrapText="1"/>
      <protection locked="0"/>
    </xf>
    <xf numFmtId="168" fontId="10" fillId="5" borderId="8" xfId="5" applyNumberFormat="1" applyFont="1" applyFill="1" applyBorder="1" applyAlignment="1" applyProtection="1">
      <alignment horizontal="left" vertical="center" wrapText="1"/>
      <protection locked="0"/>
    </xf>
    <xf numFmtId="168" fontId="10" fillId="5" borderId="7" xfId="5" applyNumberFormat="1" applyFont="1" applyFill="1" applyBorder="1" applyAlignment="1" applyProtection="1">
      <alignment horizontal="left" vertical="center" wrapText="1"/>
      <protection locked="0"/>
    </xf>
    <xf numFmtId="0" fontId="22" fillId="4" borderId="140" xfId="0" applyFont="1" applyFill="1" applyBorder="1" applyAlignment="1">
      <alignment horizontal="left" vertical="center" wrapText="1"/>
    </xf>
    <xf numFmtId="0" fontId="22" fillId="4" borderId="141" xfId="0" applyFont="1" applyFill="1" applyBorder="1" applyAlignment="1">
      <alignment horizontal="left" vertical="center" wrapText="1"/>
    </xf>
    <xf numFmtId="0" fontId="15" fillId="8" borderId="0" xfId="0" applyFont="1" applyFill="1" applyAlignment="1">
      <alignment horizontal="center" vertical="center" wrapText="1"/>
    </xf>
    <xf numFmtId="168" fontId="10" fillId="5" borderId="142" xfId="5" applyNumberFormat="1" applyFont="1" applyFill="1" applyBorder="1" applyAlignment="1" applyProtection="1">
      <alignment horizontal="left" vertical="center" wrapText="1"/>
      <protection locked="0"/>
    </xf>
    <xf numFmtId="168" fontId="10" fillId="5" borderId="143" xfId="5" applyNumberFormat="1" applyFont="1" applyFill="1" applyBorder="1" applyAlignment="1" applyProtection="1">
      <alignment horizontal="left" vertical="center" wrapText="1"/>
      <protection locked="0"/>
    </xf>
    <xf numFmtId="0" fontId="21" fillId="0" borderId="0" xfId="0" applyFont="1" applyAlignment="1">
      <alignment horizontal="justify" vertical="top" wrapText="1"/>
    </xf>
    <xf numFmtId="0" fontId="20" fillId="8" borderId="9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39" xfId="0" applyFont="1" applyFill="1" applyBorder="1" applyAlignment="1">
      <alignment horizontal="left" vertical="center" wrapText="1"/>
    </xf>
    <xf numFmtId="0" fontId="9" fillId="9" borderId="4"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15" fillId="8" borderId="4" xfId="0" applyFont="1" applyFill="1" applyBorder="1" applyAlignment="1">
      <alignment horizontal="center" vertical="center" wrapText="1"/>
    </xf>
    <xf numFmtId="0" fontId="10" fillId="5" borderId="2" xfId="0" applyFont="1" applyFill="1" applyBorder="1" applyAlignment="1">
      <alignment horizontal="justify" vertical="center" wrapText="1"/>
    </xf>
    <xf numFmtId="0" fontId="10" fillId="5" borderId="0" xfId="0" applyFont="1" applyFill="1" applyAlignment="1">
      <alignment horizontal="justify" vertical="center" wrapText="1"/>
    </xf>
    <xf numFmtId="0" fontId="10" fillId="5" borderId="1" xfId="0" applyFont="1" applyFill="1" applyBorder="1" applyAlignment="1">
      <alignment horizontal="justify" vertical="center" wrapText="1"/>
    </xf>
    <xf numFmtId="0" fontId="10" fillId="5" borderId="11" xfId="0" applyFont="1" applyFill="1" applyBorder="1" applyAlignment="1">
      <alignment horizontal="justify" vertical="center" wrapText="1"/>
    </xf>
    <xf numFmtId="0" fontId="10" fillId="5" borderId="12" xfId="0" applyFont="1" applyFill="1" applyBorder="1" applyAlignment="1">
      <alignment horizontal="justify" vertical="center" wrapText="1"/>
    </xf>
    <xf numFmtId="0" fontId="10" fillId="5" borderId="14" xfId="0" applyFont="1" applyFill="1" applyBorder="1" applyAlignment="1">
      <alignment horizontal="justify" vertical="center" wrapText="1"/>
    </xf>
    <xf numFmtId="0" fontId="10" fillId="5" borderId="13" xfId="0" applyFont="1" applyFill="1" applyBorder="1" applyAlignment="1">
      <alignment horizontal="justify" vertical="center" wrapText="1"/>
    </xf>
    <xf numFmtId="0" fontId="10" fillId="5" borderId="5" xfId="0" applyFont="1" applyFill="1" applyBorder="1" applyAlignment="1">
      <alignment horizontal="justify" vertical="center" wrapText="1"/>
    </xf>
    <xf numFmtId="0" fontId="10" fillId="5" borderId="10" xfId="0" applyFont="1" applyFill="1" applyBorder="1" applyAlignment="1">
      <alignment horizontal="justify" vertical="center" wrapText="1"/>
    </xf>
    <xf numFmtId="0" fontId="6" fillId="0" borderId="0" xfId="0" applyFont="1" applyAlignment="1">
      <alignment horizontal="left" vertical="center" wrapText="1"/>
    </xf>
    <xf numFmtId="0" fontId="23" fillId="2" borderId="17" xfId="0" quotePrefix="1" applyFont="1" applyFill="1" applyBorder="1" applyAlignment="1">
      <alignment horizontal="center" vertical="center" wrapText="1"/>
    </xf>
    <xf numFmtId="0" fontId="23" fillId="2" borderId="18" xfId="0" quotePrefix="1" applyFont="1" applyFill="1" applyBorder="1" applyAlignment="1">
      <alignment horizontal="center" vertical="center" wrapText="1"/>
    </xf>
    <xf numFmtId="0" fontId="45" fillId="5" borderId="4" xfId="0" applyFont="1" applyFill="1" applyBorder="1" applyAlignment="1">
      <alignment horizontal="justify" vertical="center" wrapText="1"/>
    </xf>
    <xf numFmtId="0" fontId="15" fillId="8" borderId="93" xfId="0" applyFont="1" applyFill="1" applyBorder="1" applyAlignment="1">
      <alignment horizontal="center" vertical="center" wrapText="1"/>
    </xf>
    <xf numFmtId="0" fontId="15" fillId="8" borderId="94" xfId="0" applyFont="1" applyFill="1" applyBorder="1" applyAlignment="1">
      <alignment horizontal="center" vertical="center" wrapText="1"/>
    </xf>
    <xf numFmtId="0" fontId="45" fillId="5" borderId="10" xfId="0" applyFont="1" applyFill="1" applyBorder="1" applyAlignment="1">
      <alignment horizontal="justify" vertical="center" wrapText="1"/>
    </xf>
    <xf numFmtId="0" fontId="45" fillId="5" borderId="1" xfId="0" applyFont="1" applyFill="1" applyBorder="1" applyAlignment="1">
      <alignment horizontal="justify" vertical="center" wrapText="1"/>
    </xf>
    <xf numFmtId="0" fontId="7" fillId="8" borderId="0" xfId="0" quotePrefix="1" applyFont="1" applyFill="1" applyAlignment="1">
      <alignment horizontal="center" vertical="center" wrapText="1"/>
    </xf>
    <xf numFmtId="0" fontId="27" fillId="8" borderId="5" xfId="0" applyFont="1" applyFill="1" applyBorder="1" applyAlignment="1">
      <alignment horizontal="left" vertical="center" wrapText="1"/>
    </xf>
    <xf numFmtId="0" fontId="27" fillId="8" borderId="10" xfId="0" applyFont="1" applyFill="1" applyBorder="1" applyAlignment="1">
      <alignment horizontal="left" vertical="center" wrapText="1"/>
    </xf>
    <xf numFmtId="168" fontId="39" fillId="0" borderId="96" xfId="0" applyNumberFormat="1" applyFont="1" applyBorder="1" applyAlignment="1">
      <alignment horizontal="center" vertical="center" wrapText="1"/>
    </xf>
    <xf numFmtId="168" fontId="39" fillId="0" borderId="63" xfId="0" applyNumberFormat="1" applyFont="1" applyBorder="1" applyAlignment="1">
      <alignment horizontal="center" vertical="center" wrapText="1"/>
    </xf>
    <xf numFmtId="168" fontId="39" fillId="0" borderId="97" xfId="0" applyNumberFormat="1" applyFont="1" applyBorder="1" applyAlignment="1">
      <alignment horizontal="center" vertical="center" wrapText="1"/>
    </xf>
    <xf numFmtId="168" fontId="39" fillId="0" borderId="22" xfId="0" applyNumberFormat="1" applyFont="1" applyBorder="1" applyAlignment="1">
      <alignment horizontal="center" vertical="center" wrapText="1"/>
    </xf>
    <xf numFmtId="168" fontId="39" fillId="0" borderId="98" xfId="0" applyNumberFormat="1" applyFont="1" applyBorder="1" applyAlignment="1">
      <alignment horizontal="center" vertical="center" wrapText="1"/>
    </xf>
    <xf numFmtId="0" fontId="38" fillId="8" borderId="99" xfId="0" applyFont="1" applyFill="1" applyBorder="1" applyAlignment="1">
      <alignment horizontal="center" vertical="center"/>
    </xf>
    <xf numFmtId="0" fontId="38" fillId="8" borderId="63" xfId="0" applyFont="1" applyFill="1" applyBorder="1" applyAlignment="1">
      <alignment horizontal="center" vertical="center"/>
    </xf>
    <xf numFmtId="0" fontId="40" fillId="8" borderId="71" xfId="0" applyFont="1" applyFill="1" applyBorder="1" applyAlignment="1">
      <alignment horizontal="center" vertical="center"/>
    </xf>
    <xf numFmtId="0" fontId="30" fillId="8" borderId="2" xfId="0" applyFont="1" applyFill="1" applyBorder="1" applyAlignment="1">
      <alignment horizontal="center" vertical="center"/>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1" xfId="0" applyFont="1" applyFill="1" applyBorder="1" applyAlignment="1">
      <alignment horizontal="center" vertical="center" wrapText="1"/>
    </xf>
    <xf numFmtId="0" fontId="28" fillId="10" borderId="4" xfId="0" applyFont="1" applyFill="1" applyBorder="1" applyAlignment="1">
      <alignment horizontal="justify" vertical="center" wrapText="1"/>
    </xf>
    <xf numFmtId="0" fontId="38" fillId="2" borderId="2" xfId="0" applyFont="1" applyFill="1" applyBorder="1" applyAlignment="1">
      <alignment horizontal="center" vertical="center"/>
    </xf>
    <xf numFmtId="0" fontId="38" fillId="2" borderId="0" xfId="0" applyFont="1" applyFill="1" applyAlignment="1">
      <alignment horizontal="center" vertical="center"/>
    </xf>
    <xf numFmtId="168" fontId="6" fillId="0" borderId="0" xfId="0" applyNumberFormat="1" applyFont="1" applyAlignment="1">
      <alignment horizontal="center" vertical="center" wrapText="1"/>
    </xf>
    <xf numFmtId="0" fontId="23" fillId="0" borderId="0" xfId="0" applyFont="1" applyAlignment="1">
      <alignment horizontal="center" vertical="center"/>
    </xf>
    <xf numFmtId="0" fontId="15" fillId="8" borderId="20" xfId="0" applyFont="1" applyFill="1" applyBorder="1" applyAlignment="1">
      <alignment horizontal="center" vertical="center" wrapText="1"/>
    </xf>
    <xf numFmtId="0" fontId="15" fillId="8" borderId="131"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8" borderId="21"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130"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8"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135" xfId="0" applyFont="1" applyFill="1" applyBorder="1" applyAlignment="1">
      <alignment horizontal="center" vertical="center" wrapText="1"/>
    </xf>
    <xf numFmtId="0" fontId="15" fillId="8" borderId="137" xfId="0" applyFont="1" applyFill="1" applyBorder="1" applyAlignment="1">
      <alignment horizontal="center" vertical="center" textRotation="90"/>
    </xf>
    <xf numFmtId="0" fontId="15" fillId="8" borderId="128" xfId="0" applyFont="1" applyFill="1" applyBorder="1" applyAlignment="1">
      <alignment horizontal="center" vertical="center" textRotation="90"/>
    </xf>
    <xf numFmtId="0" fontId="15" fillId="8" borderId="130" xfId="0" applyFont="1" applyFill="1" applyBorder="1" applyAlignment="1">
      <alignment horizontal="center" vertical="center" textRotation="90"/>
    </xf>
    <xf numFmtId="0" fontId="43" fillId="8" borderId="114" xfId="0" applyFont="1" applyFill="1" applyBorder="1" applyAlignment="1">
      <alignment horizontal="center" vertical="center"/>
    </xf>
    <xf numFmtId="0" fontId="43" fillId="8" borderId="0" xfId="0" applyFont="1" applyFill="1" applyAlignment="1">
      <alignment horizontal="center" vertical="center"/>
    </xf>
    <xf numFmtId="0" fontId="43" fillId="8" borderId="124" xfId="0" applyFont="1" applyFill="1" applyBorder="1" applyAlignment="1">
      <alignment horizontal="center" vertical="center"/>
    </xf>
    <xf numFmtId="0" fontId="55" fillId="0" borderId="125" xfId="0" applyFont="1" applyBorder="1" applyAlignment="1">
      <alignment horizontal="center" vertical="center" wrapText="1"/>
    </xf>
    <xf numFmtId="0" fontId="55" fillId="0" borderId="126"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7" xfId="0" applyFont="1" applyBorder="1" applyAlignment="1">
      <alignment horizontal="center" vertical="center" wrapText="1"/>
    </xf>
    <xf numFmtId="0" fontId="15" fillId="8" borderId="131" xfId="0" applyFont="1" applyFill="1" applyBorder="1" applyAlignment="1">
      <alignment horizontal="left" vertical="center" wrapText="1"/>
    </xf>
    <xf numFmtId="0" fontId="10" fillId="0" borderId="10" xfId="0" applyFont="1" applyBorder="1" applyAlignment="1">
      <alignment vertical="center" wrapText="1"/>
    </xf>
    <xf numFmtId="0" fontId="10" fillId="0" borderId="17" xfId="0" applyFont="1" applyBorder="1" applyAlignment="1">
      <alignment vertical="center" wrapText="1"/>
    </xf>
    <xf numFmtId="0" fontId="10" fillId="0" borderId="13" xfId="0" applyFont="1" applyBorder="1" applyAlignment="1">
      <alignment vertical="center" wrapText="1"/>
    </xf>
    <xf numFmtId="0" fontId="22" fillId="5" borderId="4" xfId="0" applyFont="1" applyFill="1" applyBorder="1" applyAlignment="1">
      <alignment horizontal="center" vertical="center" textRotation="255"/>
    </xf>
    <xf numFmtId="0" fontId="22" fillId="5" borderId="4" xfId="0" applyFont="1" applyFill="1" applyBorder="1" applyAlignment="1">
      <alignment vertical="center" wrapText="1"/>
    </xf>
    <xf numFmtId="0" fontId="22" fillId="5" borderId="4" xfId="0" applyFont="1" applyFill="1" applyBorder="1" applyAlignment="1">
      <alignment horizontal="center" vertical="center" wrapText="1"/>
    </xf>
    <xf numFmtId="0" fontId="29" fillId="0" borderId="81" xfId="0" applyFont="1" applyBorder="1" applyAlignment="1">
      <alignment horizontal="center" vertical="center" wrapText="1"/>
    </xf>
    <xf numFmtId="0" fontId="29" fillId="0" borderId="101" xfId="0" applyFont="1" applyBorder="1" applyAlignment="1">
      <alignment horizontal="center" vertical="center" wrapText="1"/>
    </xf>
    <xf numFmtId="0" fontId="38" fillId="8" borderId="113" xfId="0" applyFont="1" applyFill="1" applyBorder="1" applyAlignment="1">
      <alignment horizontal="center" vertical="center" wrapText="1"/>
    </xf>
    <xf numFmtId="0" fontId="38" fillId="8" borderId="112" xfId="0" applyFont="1" applyFill="1" applyBorder="1" applyAlignment="1">
      <alignment horizontal="center" vertical="center" wrapText="1"/>
    </xf>
    <xf numFmtId="0" fontId="38" fillId="8" borderId="100" xfId="0" applyFont="1" applyFill="1" applyBorder="1" applyAlignment="1" applyProtection="1">
      <alignment horizontal="center" vertical="center" wrapText="1"/>
      <protection locked="0"/>
    </xf>
    <xf numFmtId="0" fontId="38" fillId="8" borderId="76" xfId="0" applyFont="1" applyFill="1" applyBorder="1" applyAlignment="1" applyProtection="1">
      <alignment horizontal="center" vertical="center" wrapText="1"/>
      <protection locked="0"/>
    </xf>
    <xf numFmtId="0" fontId="38" fillId="8" borderId="111" xfId="0" applyFont="1" applyFill="1" applyBorder="1" applyAlignment="1">
      <alignment horizontal="center" vertical="center" wrapText="1"/>
    </xf>
    <xf numFmtId="0" fontId="38" fillId="8" borderId="119" xfId="0" applyFont="1" applyFill="1" applyBorder="1" applyAlignment="1">
      <alignment horizontal="center" vertical="center" wrapText="1"/>
    </xf>
    <xf numFmtId="0" fontId="38" fillId="8" borderId="120" xfId="0" applyFont="1" applyFill="1" applyBorder="1" applyAlignment="1">
      <alignment horizontal="center" vertical="center" wrapText="1"/>
    </xf>
    <xf numFmtId="0" fontId="38" fillId="8" borderId="74" xfId="0" applyFont="1" applyFill="1" applyBorder="1" applyAlignment="1">
      <alignment horizontal="left" vertical="center" wrapText="1"/>
    </xf>
    <xf numFmtId="0" fontId="38" fillId="8" borderId="85" xfId="0" applyFont="1" applyFill="1" applyBorder="1" applyAlignment="1">
      <alignment horizontal="left" vertical="center" wrapText="1"/>
    </xf>
    <xf numFmtId="0" fontId="38" fillId="8" borderId="102" xfId="0" applyFont="1" applyFill="1" applyBorder="1" applyAlignment="1">
      <alignment horizontal="left" vertical="center" wrapText="1"/>
    </xf>
    <xf numFmtId="0" fontId="38" fillId="8" borderId="122" xfId="0" applyFont="1" applyFill="1" applyBorder="1" applyAlignment="1">
      <alignment horizontal="center" vertical="center" textRotation="90"/>
    </xf>
    <xf numFmtId="0" fontId="38" fillId="8" borderId="123" xfId="0" applyFont="1" applyFill="1" applyBorder="1" applyAlignment="1">
      <alignment horizontal="center" vertical="center" textRotation="90"/>
    </xf>
    <xf numFmtId="0" fontId="40" fillId="0" borderId="0" xfId="0" applyFont="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29" fillId="0" borderId="105" xfId="0" applyFont="1" applyBorder="1" applyAlignment="1">
      <alignment horizontal="justify" vertical="center" wrapText="1"/>
    </xf>
    <xf numFmtId="0" fontId="29" fillId="0" borderId="106" xfId="0" applyFont="1" applyBorder="1" applyAlignment="1">
      <alignment horizontal="justify" vertical="center" wrapText="1"/>
    </xf>
    <xf numFmtId="0" fontId="29" fillId="0" borderId="107" xfId="0" applyFont="1" applyBorder="1" applyAlignment="1">
      <alignment horizontal="justify" vertical="center" wrapText="1"/>
    </xf>
    <xf numFmtId="0" fontId="38" fillId="8" borderId="118" xfId="0" applyFont="1" applyFill="1" applyBorder="1" applyAlignment="1">
      <alignment horizontal="center" vertical="center" wrapText="1"/>
    </xf>
    <xf numFmtId="0" fontId="38" fillId="8" borderId="100" xfId="0" applyFont="1" applyFill="1" applyBorder="1" applyAlignment="1">
      <alignment horizontal="center" vertical="center" wrapText="1"/>
    </xf>
    <xf numFmtId="0" fontId="38" fillId="8" borderId="110" xfId="0" applyFont="1" applyFill="1" applyBorder="1" applyAlignment="1">
      <alignment horizontal="center" vertical="center" wrapText="1"/>
    </xf>
    <xf numFmtId="0" fontId="38" fillId="8" borderId="81" xfId="0" applyFont="1" applyFill="1" applyBorder="1" applyAlignment="1">
      <alignment horizontal="left" vertical="center" wrapText="1"/>
    </xf>
    <xf numFmtId="168" fontId="25" fillId="0" borderId="0" xfId="0" applyNumberFormat="1" applyFont="1" applyAlignment="1">
      <alignment horizontal="center" vertical="center" wrapText="1"/>
    </xf>
    <xf numFmtId="0" fontId="25" fillId="0" borderId="81" xfId="0" applyFont="1" applyBorder="1" applyAlignment="1">
      <alignment horizontal="center" vertical="center" wrapText="1"/>
    </xf>
    <xf numFmtId="0" fontId="25" fillId="0" borderId="101" xfId="0" applyFont="1" applyBorder="1" applyAlignment="1">
      <alignment horizontal="center" vertical="center" wrapText="1"/>
    </xf>
    <xf numFmtId="0" fontId="12" fillId="8" borderId="79"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12" fillId="8" borderId="110" xfId="0" applyFont="1" applyFill="1" applyBorder="1" applyAlignment="1">
      <alignment horizontal="center" vertical="center" wrapText="1"/>
    </xf>
    <xf numFmtId="0" fontId="12" fillId="8" borderId="111" xfId="0" applyFont="1" applyFill="1" applyBorder="1" applyAlignment="1">
      <alignment horizontal="center" vertical="center" wrapText="1"/>
    </xf>
    <xf numFmtId="0" fontId="12" fillId="8" borderId="81" xfId="0" applyFont="1" applyFill="1" applyBorder="1" applyAlignment="1">
      <alignment horizontal="left" vertical="center" wrapText="1"/>
    </xf>
    <xf numFmtId="0" fontId="12" fillId="8" borderId="74"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20" fillId="8" borderId="74" xfId="0" applyFont="1" applyFill="1" applyBorder="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25" fillId="0" borderId="102" xfId="0" applyFont="1" applyBorder="1" applyAlignment="1">
      <alignment horizontal="justify" vertical="center" wrapText="1"/>
    </xf>
    <xf numFmtId="0" fontId="25" fillId="0" borderId="105" xfId="0" applyFont="1" applyBorder="1" applyAlignment="1">
      <alignment horizontal="justify" vertical="center" wrapText="1"/>
    </xf>
    <xf numFmtId="0" fontId="12" fillId="8" borderId="15"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12" fillId="8" borderId="104" xfId="0" applyFont="1" applyFill="1" applyBorder="1" applyAlignment="1">
      <alignment horizontal="center" vertical="center" wrapText="1"/>
    </xf>
    <xf numFmtId="0" fontId="12" fillId="8" borderId="108" xfId="0" applyFont="1" applyFill="1" applyBorder="1" applyAlignment="1">
      <alignment horizontal="center" vertical="center" wrapText="1"/>
    </xf>
    <xf numFmtId="0" fontId="12" fillId="8" borderId="109" xfId="0" applyFont="1" applyFill="1" applyBorder="1" applyAlignment="1">
      <alignment horizontal="center" vertical="center" wrapText="1"/>
    </xf>
    <xf numFmtId="0" fontId="12" fillId="8" borderId="83" xfId="0" applyFont="1" applyFill="1" applyBorder="1" applyAlignment="1">
      <alignment horizontal="center" vertical="center" wrapText="1"/>
    </xf>
    <xf numFmtId="0" fontId="12" fillId="8" borderId="84" xfId="0" applyFont="1" applyFill="1" applyBorder="1" applyAlignment="1">
      <alignment horizontal="center" vertical="center" wrapText="1"/>
    </xf>
    <xf numFmtId="0" fontId="12" fillId="8" borderId="103" xfId="0" applyFont="1" applyFill="1" applyBorder="1" applyAlignment="1">
      <alignment horizontal="center" vertical="center" wrapText="1"/>
    </xf>
    <xf numFmtId="0" fontId="12" fillId="8" borderId="85" xfId="0" applyFont="1" applyFill="1" applyBorder="1" applyAlignment="1">
      <alignment horizontal="left" vertical="center" wrapText="1"/>
    </xf>
    <xf numFmtId="0" fontId="12" fillId="8" borderId="102" xfId="0" applyFont="1" applyFill="1" applyBorder="1" applyAlignment="1">
      <alignment horizontal="left" vertical="center" wrapText="1"/>
    </xf>
    <xf numFmtId="0" fontId="13" fillId="13" borderId="4" xfId="0" applyFont="1" applyFill="1" applyBorder="1" applyAlignment="1">
      <alignment horizontal="center" vertical="center"/>
    </xf>
    <xf numFmtId="0" fontId="13" fillId="14" borderId="4" xfId="0" applyFont="1" applyFill="1" applyBorder="1" applyAlignment="1">
      <alignment horizontal="center" vertical="center" wrapText="1"/>
    </xf>
    <xf numFmtId="0" fontId="13" fillId="14" borderId="4" xfId="0" applyFont="1" applyFill="1" applyBorder="1" applyAlignment="1">
      <alignment horizontal="center" vertical="center"/>
    </xf>
    <xf numFmtId="0" fontId="25" fillId="10" borderId="4" xfId="0" applyFont="1" applyFill="1" applyBorder="1" applyAlignment="1">
      <alignment horizontal="center" vertical="center" wrapText="1"/>
    </xf>
    <xf numFmtId="0" fontId="13" fillId="10" borderId="4" xfId="0" applyFont="1" applyFill="1" applyBorder="1" applyAlignment="1">
      <alignment horizontal="center" vertical="center" wrapText="1"/>
    </xf>
  </cellXfs>
  <cellStyles count="9">
    <cellStyle name="Estilo 1" xfId="1" xr:uid="{00000000-0005-0000-0000-000000000000}"/>
    <cellStyle name="Millares" xfId="2" builtinId="3"/>
    <cellStyle name="Millares [0]" xfId="3" builtinId="6"/>
    <cellStyle name="Millares 2" xfId="4" xr:uid="{00000000-0005-0000-0000-000003000000}"/>
    <cellStyle name="Moneda" xfId="5" builtinId="4"/>
    <cellStyle name="Moneda [0]" xfId="6" builtinId="7"/>
    <cellStyle name="Moneda 2" xfId="7" xr:uid="{00000000-0005-0000-0000-000006000000}"/>
    <cellStyle name="Normal" xfId="0" builtinId="0"/>
    <cellStyle name="Porcentaje" xfId="8" builtinId="5"/>
  </cellStyles>
  <dxfs count="102">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b/>
        <i val="0"/>
        <color auto="1"/>
        <name val="Cambria"/>
        <scheme val="none"/>
      </font>
      <fill>
        <patternFill>
          <bgColor rgb="FFFF0000"/>
        </patternFill>
      </fill>
    </dxf>
    <dxf>
      <font>
        <color rgb="FF9C0006"/>
      </font>
      <fill>
        <patternFill>
          <bgColor rgb="FFFFC7CE"/>
        </patternFill>
      </fill>
    </dxf>
    <dxf>
      <font>
        <color rgb="FFFFFF00"/>
      </font>
      <fill>
        <patternFill>
          <bgColor rgb="FFFF0000"/>
        </patternFill>
      </fill>
    </dxf>
    <dxf>
      <font>
        <color rgb="FFFFFF00"/>
      </font>
      <fill>
        <patternFill>
          <bgColor rgb="FFFF0000"/>
        </patternFill>
      </fill>
    </dxf>
    <dxf>
      <font>
        <b/>
        <i val="0"/>
        <color auto="1"/>
        <name val="Cambria"/>
        <scheme val="none"/>
      </font>
      <fill>
        <patternFill>
          <bgColor rgb="FFFF0000"/>
        </patternFill>
      </fill>
    </dxf>
    <dxf>
      <font>
        <b/>
        <i val="0"/>
        <color auto="1"/>
        <name val="Cambria"/>
        <scheme val="none"/>
      </font>
      <fill>
        <patternFill>
          <bgColor rgb="FFFF0000"/>
        </patternFill>
      </fill>
    </dxf>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name val="Cambria"/>
        <scheme val="none"/>
      </font>
      <fill>
        <patternFill patternType="solid">
          <fgColor indexed="64"/>
          <bgColor rgb="FFFF0000"/>
        </patternFill>
      </fill>
      <border>
        <left style="thin">
          <color indexed="64"/>
        </left>
        <right style="thin">
          <color indexed="64"/>
        </right>
        <top style="thin">
          <color indexed="64"/>
        </top>
        <bottom style="thin">
          <color indexed="64"/>
        </bottom>
      </border>
    </dxf>
    <dxf>
      <font>
        <b/>
        <i val="0"/>
        <color auto="1"/>
        <name val="Cambria"/>
        <scheme val="none"/>
      </font>
      <fill>
        <patternFill>
          <bgColor rgb="FFFF0000"/>
        </patternFill>
      </fill>
    </dxf>
    <dxf>
      <font>
        <color rgb="FFFFFF00"/>
      </font>
      <fill>
        <patternFill>
          <bgColor rgb="FFFF0000"/>
        </patternFill>
      </fill>
    </dxf>
    <dxf>
      <font>
        <color rgb="FFFFFF00"/>
      </font>
      <fill>
        <patternFill>
          <bgColor rgb="FFFF0000"/>
        </patternFill>
      </fill>
    </dxf>
    <dxf>
      <font>
        <b/>
        <i val="0"/>
        <color auto="1"/>
        <name val="Cambria"/>
        <scheme val="none"/>
      </font>
      <fill>
        <patternFill>
          <bgColor rgb="FFFF0000"/>
        </patternFill>
      </fill>
    </dxf>
    <dxf>
      <font>
        <b/>
        <i val="0"/>
        <color auto="1"/>
        <name val="Cambria"/>
        <scheme val="none"/>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ill>
        <patternFill>
          <bgColor rgb="FFFF0000"/>
        </patternFill>
      </fill>
    </dxf>
    <dxf>
      <font>
        <b/>
        <i val="0"/>
        <color auto="1"/>
        <name val="Cambria"/>
        <scheme val="none"/>
      </font>
      <fill>
        <patternFill>
          <bgColor theme="0" tint="-0.14996795556505021"/>
        </patternFill>
      </fill>
    </dxf>
    <dxf>
      <font>
        <color rgb="FFFFFF00"/>
      </font>
      <fill>
        <patternFill>
          <fgColor rgb="FFFF0000"/>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b/>
        <i val="0"/>
        <color auto="1"/>
        <name val="Cambria"/>
        <scheme val="none"/>
      </font>
      <fill>
        <patternFill>
          <bgColor theme="0" tint="-0.14996795556505021"/>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ill>
        <patternFill>
          <bgColor rgb="FF92D050"/>
        </patternFill>
      </fill>
      <border>
        <left style="thin">
          <color indexed="64"/>
        </left>
        <right style="thin">
          <color indexed="64"/>
        </right>
        <top style="thin">
          <color indexed="64"/>
        </top>
        <bottom style="thin">
          <color indexed="64"/>
        </bottom>
      </border>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b/>
        <i val="0"/>
        <color auto="1"/>
      </font>
      <fill>
        <patternFill>
          <bgColor rgb="FF92D050"/>
        </patternFill>
      </fill>
    </dxf>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ill>
        <patternFill>
          <bgColor rgb="FFFF0000"/>
        </patternFill>
      </fill>
    </dxf>
    <dxf>
      <font>
        <b/>
        <i val="0"/>
        <color auto="1"/>
      </font>
      <fill>
        <patternFill>
          <bgColor rgb="FF92D050"/>
        </patternFill>
      </fill>
    </dxf>
    <dxf>
      <fill>
        <patternFill>
          <bgColor rgb="FF92D050"/>
        </patternFill>
      </fill>
    </dxf>
    <dxf>
      <fill>
        <patternFill>
          <bgColor rgb="FFFFFF00"/>
        </patternFill>
      </fill>
      <border>
        <left style="thin">
          <color indexed="64"/>
        </left>
        <right style="thin">
          <color indexed="64"/>
        </right>
        <top style="thin">
          <color indexed="64"/>
        </top>
        <bottom style="thin">
          <color indexed="64"/>
        </bottom>
      </border>
    </dxf>
    <dxf>
      <font>
        <color theme="0"/>
      </font>
      <fill>
        <patternFill>
          <bgColor theme="0"/>
        </patternFill>
      </fill>
    </dxf>
    <dxf>
      <fill>
        <patternFill>
          <bgColor rgb="FFFFFF00"/>
        </patternFill>
      </fill>
      <border>
        <left style="thin">
          <color indexed="64"/>
        </left>
        <right style="thin">
          <color indexed="64"/>
        </right>
        <top style="thin">
          <color indexed="64"/>
        </top>
        <bottom style="thin">
          <color indexed="64"/>
        </bottom>
      </border>
    </dxf>
    <dxf>
      <font>
        <color theme="0"/>
      </font>
      <fill>
        <patternFill>
          <bgColor theme="0"/>
        </patternFill>
      </fill>
    </dxf>
    <dxf>
      <font>
        <b/>
        <i val="0"/>
        <color auto="1"/>
      </font>
      <fill>
        <patternFill>
          <bgColor rgb="FF92D050"/>
        </patternFill>
      </fill>
    </dxf>
    <dxf>
      <font>
        <b/>
        <i val="0"/>
        <color auto="1"/>
      </font>
      <fill>
        <patternFill>
          <bgColor rgb="FFFF0000"/>
        </patternFill>
      </fill>
    </dxf>
    <dxf>
      <font>
        <b/>
        <i val="0"/>
        <color auto="1"/>
      </font>
      <fill>
        <patternFill>
          <bgColor rgb="FF92D050"/>
        </patternFill>
      </fill>
    </dxf>
    <dxf>
      <font>
        <b/>
        <i val="0"/>
        <color auto="1"/>
      </font>
      <fill>
        <patternFill>
          <bgColor rgb="FFFF0000"/>
        </patternFill>
      </fill>
    </dxf>
    <dxf>
      <font>
        <b/>
        <i val="0"/>
        <color auto="1"/>
      </font>
      <fill>
        <patternFill>
          <bgColor rgb="FFFFC000"/>
        </patternFill>
      </fill>
    </dxf>
    <dxf>
      <font>
        <b/>
        <i val="0"/>
        <color auto="1"/>
      </font>
      <fill>
        <patternFill>
          <bgColor rgb="FFFF0000"/>
        </patternFill>
      </fill>
    </dxf>
    <dxf>
      <font>
        <b/>
        <i val="0"/>
        <color auto="1"/>
      </font>
      <fill>
        <patternFill>
          <bgColor rgb="FF92D050"/>
        </patternFill>
      </fill>
    </dxf>
    <dxf>
      <font>
        <color theme="4" tint="0.59996337778862885"/>
      </font>
      <fill>
        <patternFill>
          <bgColor theme="4" tint="0.59996337778862885"/>
        </patternFill>
      </fill>
      <border>
        <left style="thin">
          <color indexed="64"/>
        </left>
        <right style="thin">
          <color indexed="64"/>
        </right>
        <top style="thin">
          <color indexed="64"/>
        </top>
        <bottom style="thin">
          <color indexed="64"/>
        </bottom>
      </border>
    </dxf>
    <dxf>
      <font>
        <color theme="0"/>
      </font>
    </dxf>
    <dxf>
      <font>
        <color theme="0"/>
      </font>
      <fill>
        <patternFill>
          <bgColor theme="3" tint="-0.24994659260841701"/>
        </patternFill>
      </fill>
    </dxf>
    <dxf>
      <font>
        <color theme="3" tint="-0.24994659260841701"/>
      </font>
      <fill>
        <patternFill>
          <bgColor theme="3" tint="-0.24994659260841701"/>
        </patternFill>
      </fill>
    </dxf>
    <dxf>
      <font>
        <color theme="4" tint="-0.499984740745262"/>
      </font>
      <fill>
        <patternFill>
          <bgColor theme="3" tint="-0.24994659260841701"/>
        </patternFill>
      </fill>
    </dxf>
    <dxf>
      <font>
        <color auto="1"/>
      </font>
      <fill>
        <patternFill>
          <bgColor theme="4" tint="0.59996337778862885"/>
        </patternFill>
      </fill>
      <border>
        <left style="thin">
          <color indexed="64"/>
        </left>
        <right style="thin">
          <color indexed="64"/>
        </right>
        <top style="thin">
          <color indexed="64"/>
        </top>
        <bottom style="thin">
          <color indexed="64"/>
        </bottom>
      </border>
    </dxf>
    <dxf>
      <font>
        <color theme="0"/>
      </font>
      <fill>
        <patternFill>
          <bgColor theme="0"/>
        </patternFill>
      </fill>
      <border>
        <left style="thin">
          <color theme="3" tint="-0.24994659260841701"/>
        </left>
        <right style="thin">
          <color theme="3" tint="-0.24994659260841701"/>
        </right>
        <top style="thin">
          <color theme="3" tint="-0.24994659260841701"/>
        </top>
        <bottom style="thin">
          <color theme="3" tint="-0.24994659260841701"/>
        </bottom>
      </border>
    </dxf>
    <dxf>
      <font>
        <color theme="0"/>
      </font>
    </dxf>
    <dxf>
      <font>
        <b val="0"/>
        <i val="0"/>
        <color theme="0"/>
      </font>
    </dxf>
    <dxf>
      <font>
        <color auto="1"/>
      </font>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border>
    </dxf>
  </dxfs>
  <tableStyles count="0" defaultTableStyle="TableStyleMedium2" defaultPivotStyle="PivotStyleLight16"/>
  <colors>
    <mruColors>
      <color rgb="FF99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5501004</xdr:colOff>
      <xdr:row>6</xdr:row>
      <xdr:rowOff>99484</xdr:rowOff>
    </xdr:from>
    <xdr:to>
      <xdr:col>1</xdr:col>
      <xdr:colOff>6184641</xdr:colOff>
      <xdr:row>6</xdr:row>
      <xdr:rowOff>261910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5695737" y="2207684"/>
          <a:ext cx="683637" cy="162426"/>
        </a:xfrm>
        <a:prstGeom prst="rect">
          <a:avLst/>
        </a:prstGeom>
        <a:solidFill>
          <a:schemeClr val="tx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s-CL"/>
        </a:p>
      </xdr:txBody>
    </xdr:sp>
    <xdr:clientData/>
  </xdr:twoCellAnchor>
  <xdr:twoCellAnchor>
    <xdr:from>
      <xdr:col>1</xdr:col>
      <xdr:colOff>5477934</xdr:colOff>
      <xdr:row>6</xdr:row>
      <xdr:rowOff>42333</xdr:rowOff>
    </xdr:from>
    <xdr:to>
      <xdr:col>1</xdr:col>
      <xdr:colOff>6447250</xdr:colOff>
      <xdr:row>7</xdr:row>
      <xdr:rowOff>76200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5672667" y="2150533"/>
          <a:ext cx="96931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42386</xdr:colOff>
      <xdr:row>8</xdr:row>
      <xdr:rowOff>85726</xdr:rowOff>
    </xdr:from>
    <xdr:to>
      <xdr:col>9</xdr:col>
      <xdr:colOff>762954</xdr:colOff>
      <xdr:row>10</xdr:row>
      <xdr:rowOff>38100</xdr:rowOff>
    </xdr:to>
    <xdr:sp macro="" textlink="">
      <xdr:nvSpPr>
        <xdr:cNvPr id="2" name="1 Flecha izquierda">
          <a:extLst>
            <a:ext uri="{FF2B5EF4-FFF2-40B4-BE49-F238E27FC236}">
              <a16:creationId xmlns:a16="http://schemas.microsoft.com/office/drawing/2014/main" id="{00000000-0008-0000-0200-000002000000}"/>
            </a:ext>
          </a:extLst>
        </xdr:cNvPr>
        <xdr:cNvSpPr/>
      </xdr:nvSpPr>
      <xdr:spPr>
        <a:xfrm>
          <a:off x="12977336" y="542926"/>
          <a:ext cx="720568" cy="1019174"/>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twoCellAnchor>
    <xdr:from>
      <xdr:col>9</xdr:col>
      <xdr:colOff>42862</xdr:colOff>
      <xdr:row>17</xdr:row>
      <xdr:rowOff>0</xdr:rowOff>
    </xdr:from>
    <xdr:to>
      <xdr:col>9</xdr:col>
      <xdr:colOff>754447</xdr:colOff>
      <xdr:row>19</xdr:row>
      <xdr:rowOff>0</xdr:rowOff>
    </xdr:to>
    <xdr:sp macro="" textlink="">
      <xdr:nvSpPr>
        <xdr:cNvPr id="5" name="1 Flecha izquierda">
          <a:extLst>
            <a:ext uri="{FF2B5EF4-FFF2-40B4-BE49-F238E27FC236}">
              <a16:creationId xmlns:a16="http://schemas.microsoft.com/office/drawing/2014/main" id="{00000000-0008-0000-0200-000005000000}"/>
            </a:ext>
          </a:extLst>
        </xdr:cNvPr>
        <xdr:cNvSpPr/>
      </xdr:nvSpPr>
      <xdr:spPr>
        <a:xfrm>
          <a:off x="11863387" y="2744628"/>
          <a:ext cx="708010" cy="712947"/>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twoCellAnchor>
    <xdr:from>
      <xdr:col>9</xdr:col>
      <xdr:colOff>80487</xdr:colOff>
      <xdr:row>24</xdr:row>
      <xdr:rowOff>0</xdr:rowOff>
    </xdr:from>
    <xdr:to>
      <xdr:col>9</xdr:col>
      <xdr:colOff>824734</xdr:colOff>
      <xdr:row>25</xdr:row>
      <xdr:rowOff>57150</xdr:rowOff>
    </xdr:to>
    <xdr:sp macro="" textlink="">
      <xdr:nvSpPr>
        <xdr:cNvPr id="6" name="1 Flecha izquierda">
          <a:extLst>
            <a:ext uri="{FF2B5EF4-FFF2-40B4-BE49-F238E27FC236}">
              <a16:creationId xmlns:a16="http://schemas.microsoft.com/office/drawing/2014/main" id="{00000000-0008-0000-0200-000006000000}"/>
            </a:ext>
          </a:extLst>
        </xdr:cNvPr>
        <xdr:cNvSpPr/>
      </xdr:nvSpPr>
      <xdr:spPr>
        <a:xfrm>
          <a:off x="13015437" y="4943475"/>
          <a:ext cx="744247" cy="876300"/>
        </a:xfrm>
        <a:prstGeom prst="leftArrow">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L"/>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ETALLE%20PRESUPUESTO"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TALLE%20APORTE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20EQUIPAMIENTO"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II.-%20PRESUPUESTO%20FINAL"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OTIZACIONE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RESUPUESTO%20MODIFICADO"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ALDOS%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PRESUPUES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APORT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I"/>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ACION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MODIFICAD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DOS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B1:H15"/>
  <sheetViews>
    <sheetView showGridLines="0" showRowColHeaders="0" zoomScale="90" zoomScaleNormal="90" workbookViewId="0">
      <selection activeCell="B1" sqref="B1"/>
    </sheetView>
  </sheetViews>
  <sheetFormatPr baseColWidth="10" defaultColWidth="11.44140625" defaultRowHeight="14.4" x14ac:dyDescent="0.3"/>
  <cols>
    <col min="1" max="1" width="2.88671875" style="11" customWidth="1"/>
    <col min="2" max="2" width="223.109375" style="11" customWidth="1"/>
    <col min="3" max="3" width="5.6640625" style="11" customWidth="1"/>
    <col min="4" max="5" width="11.44140625" style="11"/>
    <col min="6" max="6" width="15" style="11" customWidth="1"/>
    <col min="7" max="12" width="11.44140625" style="11"/>
    <col min="13" max="13" width="7.6640625" style="11" customWidth="1"/>
    <col min="14" max="16384" width="11.44140625" style="11"/>
  </cols>
  <sheetData>
    <row r="1" spans="2:8" s="252" customFormat="1" ht="21" customHeight="1" x14ac:dyDescent="0.3">
      <c r="B1" s="5" t="s">
        <v>0</v>
      </c>
    </row>
    <row r="2" spans="2:8" ht="9.6" customHeight="1" x14ac:dyDescent="0.3"/>
    <row r="3" spans="2:8" ht="63.6" customHeight="1" x14ac:dyDescent="0.3">
      <c r="B3" s="3" t="s">
        <v>94</v>
      </c>
      <c r="C3" s="253"/>
      <c r="D3" s="253"/>
      <c r="E3" s="253"/>
      <c r="F3" s="253"/>
      <c r="G3" s="253"/>
      <c r="H3" s="253"/>
    </row>
    <row r="4" spans="2:8" ht="22.5" customHeight="1" x14ac:dyDescent="0.3">
      <c r="B4" s="4" t="s">
        <v>1</v>
      </c>
    </row>
    <row r="5" spans="2:8" ht="82.2" customHeight="1" x14ac:dyDescent="0.3">
      <c r="B5" s="347" t="s">
        <v>141</v>
      </c>
    </row>
    <row r="6" spans="2:8" ht="22.5" customHeight="1" x14ac:dyDescent="0.3">
      <c r="B6" s="4" t="s">
        <v>2</v>
      </c>
    </row>
    <row r="7" spans="2:8" ht="28.2" customHeight="1" x14ac:dyDescent="0.3">
      <c r="B7" s="1" t="s">
        <v>3</v>
      </c>
    </row>
    <row r="8" spans="2:8" ht="28.2" customHeight="1" x14ac:dyDescent="0.3">
      <c r="B8" s="2" t="s">
        <v>123</v>
      </c>
    </row>
    <row r="9" spans="2:8" ht="37.200000000000003" customHeight="1" x14ac:dyDescent="0.3">
      <c r="B9" s="2" t="s">
        <v>104</v>
      </c>
    </row>
    <row r="10" spans="2:8" ht="32.4" customHeight="1" x14ac:dyDescent="0.3">
      <c r="B10" s="2" t="s">
        <v>95</v>
      </c>
    </row>
    <row r="11" spans="2:8" ht="28.2" customHeight="1" x14ac:dyDescent="0.3">
      <c r="B11" s="1" t="s">
        <v>105</v>
      </c>
    </row>
    <row r="12" spans="2:8" ht="28.2" customHeight="1" x14ac:dyDescent="0.3">
      <c r="B12" s="2" t="s">
        <v>96</v>
      </c>
    </row>
    <row r="13" spans="2:8" ht="28.2" customHeight="1" x14ac:dyDescent="0.3">
      <c r="B13" s="1" t="s">
        <v>93</v>
      </c>
    </row>
    <row r="14" spans="2:8" ht="28.2" customHeight="1" x14ac:dyDescent="0.3">
      <c r="B14" s="363" t="s">
        <v>137</v>
      </c>
    </row>
    <row r="15" spans="2:8" x14ac:dyDescent="0.3">
      <c r="B15" s="253"/>
    </row>
  </sheetData>
  <sheetProtection password="EE9B" sheet="1" selectLockedCells="1" selectUnlockedCells="1"/>
  <printOptions horizontalCentered="1"/>
  <pageMargins left="0" right="0" top="0.78740157480314965" bottom="0.98425196850393704" header="0.31496062992125984" footer="0.59055118110236227"/>
  <pageSetup scale="75" orientation="landscape" r:id="rId1"/>
  <headerFooter alignWithMargins="0">
    <oddFooter>&amp;L&amp;A - &amp;F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workbookViewId="0">
      <pane xSplit="1" ySplit="3" topLeftCell="B4" activePane="bottomRight" state="frozen"/>
      <selection pane="topRight" activeCell="B1" sqref="B1"/>
      <selection pane="bottomLeft" activeCell="A4" sqref="A4"/>
      <selection pane="bottomRight" activeCell="E16" sqref="E16"/>
    </sheetView>
  </sheetViews>
  <sheetFormatPr baseColWidth="10" defaultColWidth="11.5546875" defaultRowHeight="14.4" x14ac:dyDescent="0.3"/>
  <cols>
    <col min="1" max="1" width="33.6640625" style="254" customWidth="1"/>
    <col min="2" max="2" width="25.33203125" style="294" customWidth="1"/>
    <col min="3" max="4" width="13.109375" style="12" customWidth="1"/>
    <col min="5" max="5" width="4.6640625" style="12" customWidth="1"/>
    <col min="6" max="6" width="14.6640625" style="12" customWidth="1"/>
    <col min="7" max="7" width="12.44140625" style="12" customWidth="1"/>
    <col min="8" max="8" width="5.33203125" style="12" customWidth="1"/>
    <col min="9" max="9" width="14.6640625" style="12" customWidth="1"/>
    <col min="10" max="10" width="12.44140625" style="12" customWidth="1"/>
    <col min="11" max="13" width="11.5546875" style="12"/>
    <col min="14" max="14" width="4.6640625" customWidth="1"/>
    <col min="15" max="15" width="14.6640625" style="12" customWidth="1"/>
    <col min="16" max="16" width="12.44140625" style="12" customWidth="1"/>
    <col min="17" max="19" width="11.5546875" style="12"/>
    <col min="20" max="20" width="4.77734375" customWidth="1"/>
    <col min="21" max="16384" width="11.5546875" style="12"/>
  </cols>
  <sheetData>
    <row r="1" spans="1:23" ht="20.399999999999999" customHeight="1" x14ac:dyDescent="0.3">
      <c r="C1" s="510" t="s">
        <v>118</v>
      </c>
      <c r="D1" s="510"/>
      <c r="E1" s="254"/>
      <c r="F1" s="511" t="s">
        <v>119</v>
      </c>
      <c r="G1" s="511"/>
      <c r="I1" s="508" t="s">
        <v>88</v>
      </c>
      <c r="J1" s="508"/>
      <c r="O1" s="508" t="s">
        <v>88</v>
      </c>
      <c r="P1" s="508"/>
    </row>
    <row r="2" spans="1:23" ht="18" customHeight="1" x14ac:dyDescent="0.3">
      <c r="C2" s="300" t="s">
        <v>120</v>
      </c>
      <c r="D2" s="301"/>
      <c r="E2" s="255"/>
      <c r="F2" s="300" t="s">
        <v>120</v>
      </c>
      <c r="G2" s="301"/>
      <c r="I2" s="305" t="s">
        <v>120</v>
      </c>
      <c r="J2" s="306"/>
      <c r="K2" s="509" t="s">
        <v>115</v>
      </c>
      <c r="L2" s="509"/>
      <c r="M2" s="509"/>
      <c r="O2" s="305" t="s">
        <v>120</v>
      </c>
      <c r="P2" s="306"/>
      <c r="Q2" s="509" t="s">
        <v>115</v>
      </c>
      <c r="R2" s="509"/>
      <c r="S2" s="509"/>
      <c r="U2" s="507" t="s">
        <v>117</v>
      </c>
      <c r="V2" s="507"/>
      <c r="W2" s="507"/>
    </row>
    <row r="3" spans="1:23" ht="15.6" customHeight="1" x14ac:dyDescent="0.3">
      <c r="B3" s="299" t="s">
        <v>114</v>
      </c>
      <c r="C3" s="302" t="s">
        <v>89</v>
      </c>
      <c r="D3" s="303" t="s">
        <v>90</v>
      </c>
      <c r="E3" s="256"/>
      <c r="F3" s="302" t="s">
        <v>89</v>
      </c>
      <c r="G3" s="303" t="s">
        <v>90</v>
      </c>
      <c r="H3" s="256"/>
      <c r="I3" s="307" t="s">
        <v>89</v>
      </c>
      <c r="J3" s="308" t="s">
        <v>90</v>
      </c>
      <c r="K3" s="308" t="s">
        <v>91</v>
      </c>
      <c r="L3" s="311" t="s">
        <v>116</v>
      </c>
      <c r="M3" s="311" t="s">
        <v>92</v>
      </c>
      <c r="O3" s="307" t="s">
        <v>89</v>
      </c>
      <c r="P3" s="308" t="s">
        <v>90</v>
      </c>
      <c r="Q3" s="308" t="s">
        <v>91</v>
      </c>
      <c r="R3" s="311" t="s">
        <v>116</v>
      </c>
      <c r="S3" s="311" t="s">
        <v>92</v>
      </c>
      <c r="U3" s="304" t="s">
        <v>91</v>
      </c>
      <c r="V3" s="312" t="s">
        <v>116</v>
      </c>
      <c r="W3" s="312" t="s">
        <v>92</v>
      </c>
    </row>
    <row r="4" spans="1:23" ht="22.2" customHeight="1" x14ac:dyDescent="0.3">
      <c r="A4" s="257" t="s">
        <v>17</v>
      </c>
      <c r="B4" s="295"/>
      <c r="C4" s="258"/>
      <c r="D4" s="259">
        <f>+C4*$D$2</f>
        <v>0</v>
      </c>
      <c r="E4" s="256"/>
      <c r="F4" s="258"/>
      <c r="G4" s="259">
        <f t="shared" ref="G4:G10" si="0">+F4*$G$2</f>
        <v>0</v>
      </c>
      <c r="H4" s="256"/>
      <c r="I4" s="258"/>
      <c r="J4" s="259">
        <f t="shared" ref="J4:J10" si="1">+I4*$J$2</f>
        <v>0</v>
      </c>
      <c r="K4" s="259"/>
      <c r="L4" s="260"/>
      <c r="M4" s="261">
        <f>SUM(K4:L4)</f>
        <v>0</v>
      </c>
      <c r="O4" s="258"/>
      <c r="P4" s="259">
        <f t="shared" ref="P4:P10" si="2">+O4*$J$2</f>
        <v>0</v>
      </c>
      <c r="Q4" s="259"/>
      <c r="R4" s="260"/>
      <c r="S4" s="261">
        <f>SUM(Q4:R4)</f>
        <v>0</v>
      </c>
      <c r="U4" s="259">
        <f>SUMIF($I$3:$T$3,U$3,$I4:$T4)</f>
        <v>0</v>
      </c>
      <c r="V4" s="259">
        <f>SUMIF($I$3:$T$3,V$3,$I4:$T4)</f>
        <v>0</v>
      </c>
      <c r="W4" s="261">
        <f>SUM(U4:V4)</f>
        <v>0</v>
      </c>
    </row>
    <row r="5" spans="1:23" ht="22.2" customHeight="1" x14ac:dyDescent="0.3">
      <c r="A5" s="257" t="s">
        <v>97</v>
      </c>
      <c r="B5" s="295"/>
      <c r="C5" s="258"/>
      <c r="D5" s="259">
        <f t="shared" ref="D5:D10" si="3">+C5*$D$2</f>
        <v>0</v>
      </c>
      <c r="E5" s="256"/>
      <c r="F5" s="258"/>
      <c r="G5" s="259">
        <f t="shared" si="0"/>
        <v>0</v>
      </c>
      <c r="H5" s="256"/>
      <c r="I5" s="258"/>
      <c r="J5" s="259">
        <f t="shared" si="1"/>
        <v>0</v>
      </c>
      <c r="K5" s="259"/>
      <c r="L5" s="260"/>
      <c r="M5" s="261">
        <f t="shared" ref="M5:M10" si="4">SUM(K5:L5)</f>
        <v>0</v>
      </c>
      <c r="O5" s="258"/>
      <c r="P5" s="259">
        <f t="shared" si="2"/>
        <v>0</v>
      </c>
      <c r="Q5" s="259"/>
      <c r="R5" s="260"/>
      <c r="S5" s="261">
        <f t="shared" ref="S5:S10" si="5">SUM(Q5:R5)</f>
        <v>0</v>
      </c>
      <c r="U5" s="259">
        <f t="shared" ref="U5:V10" si="6">SUMIF($I$3:$T$3,U$3,$I5:$T5)</f>
        <v>0</v>
      </c>
      <c r="V5" s="259">
        <f t="shared" si="6"/>
        <v>0</v>
      </c>
      <c r="W5" s="261">
        <f t="shared" ref="W5:W10" si="7">SUM(U5:V5)</f>
        <v>0</v>
      </c>
    </row>
    <row r="6" spans="1:23" ht="22.2" customHeight="1" x14ac:dyDescent="0.3">
      <c r="A6" s="257" t="s">
        <v>28</v>
      </c>
      <c r="B6" s="295"/>
      <c r="C6" s="258"/>
      <c r="D6" s="259">
        <f t="shared" si="3"/>
        <v>0</v>
      </c>
      <c r="E6" s="256"/>
      <c r="F6" s="258"/>
      <c r="G6" s="259">
        <f t="shared" si="0"/>
        <v>0</v>
      </c>
      <c r="H6" s="256"/>
      <c r="I6" s="258"/>
      <c r="J6" s="259">
        <f t="shared" si="1"/>
        <v>0</v>
      </c>
      <c r="K6" s="259"/>
      <c r="L6" s="260"/>
      <c r="M6" s="261">
        <f t="shared" si="4"/>
        <v>0</v>
      </c>
      <c r="O6" s="258"/>
      <c r="P6" s="259">
        <f t="shared" si="2"/>
        <v>0</v>
      </c>
      <c r="Q6" s="259"/>
      <c r="R6" s="260"/>
      <c r="S6" s="261">
        <f t="shared" si="5"/>
        <v>0</v>
      </c>
      <c r="U6" s="259">
        <f t="shared" si="6"/>
        <v>0</v>
      </c>
      <c r="V6" s="259">
        <f t="shared" si="6"/>
        <v>0</v>
      </c>
      <c r="W6" s="261">
        <f t="shared" si="7"/>
        <v>0</v>
      </c>
    </row>
    <row r="7" spans="1:23" ht="22.2" customHeight="1" x14ac:dyDescent="0.3">
      <c r="A7" s="257" t="s">
        <v>29</v>
      </c>
      <c r="B7" s="295"/>
      <c r="C7" s="258"/>
      <c r="D7" s="259">
        <f t="shared" si="3"/>
        <v>0</v>
      </c>
      <c r="E7" s="256"/>
      <c r="F7" s="258"/>
      <c r="G7" s="259">
        <f t="shared" si="0"/>
        <v>0</v>
      </c>
      <c r="H7" s="256"/>
      <c r="I7" s="258"/>
      <c r="J7" s="259">
        <f t="shared" si="1"/>
        <v>0</v>
      </c>
      <c r="K7" s="259"/>
      <c r="L7" s="260"/>
      <c r="M7" s="261">
        <f t="shared" si="4"/>
        <v>0</v>
      </c>
      <c r="O7" s="258"/>
      <c r="P7" s="259">
        <f t="shared" si="2"/>
        <v>0</v>
      </c>
      <c r="Q7" s="259"/>
      <c r="R7" s="260"/>
      <c r="S7" s="261">
        <f t="shared" si="5"/>
        <v>0</v>
      </c>
      <c r="U7" s="259">
        <f t="shared" si="6"/>
        <v>0</v>
      </c>
      <c r="V7" s="259">
        <f t="shared" si="6"/>
        <v>0</v>
      </c>
      <c r="W7" s="261">
        <f t="shared" si="7"/>
        <v>0</v>
      </c>
    </row>
    <row r="8" spans="1:23" ht="22.2" customHeight="1" x14ac:dyDescent="0.3">
      <c r="A8" s="257" t="s">
        <v>30</v>
      </c>
      <c r="B8" s="295"/>
      <c r="C8" s="258"/>
      <c r="D8" s="259">
        <f t="shared" si="3"/>
        <v>0</v>
      </c>
      <c r="E8" s="256"/>
      <c r="F8" s="258"/>
      <c r="G8" s="259">
        <f t="shared" si="0"/>
        <v>0</v>
      </c>
      <c r="H8" s="256"/>
      <c r="I8" s="258"/>
      <c r="J8" s="259">
        <f t="shared" si="1"/>
        <v>0</v>
      </c>
      <c r="K8" s="259"/>
      <c r="L8" s="260"/>
      <c r="M8" s="261">
        <f t="shared" si="4"/>
        <v>0</v>
      </c>
      <c r="O8" s="258"/>
      <c r="P8" s="259">
        <f t="shared" si="2"/>
        <v>0</v>
      </c>
      <c r="Q8" s="259"/>
      <c r="R8" s="260"/>
      <c r="S8" s="261">
        <f t="shared" si="5"/>
        <v>0</v>
      </c>
      <c r="U8" s="259">
        <f>SUMIF($I$3:$T$3,U$3,$I8:$T8)</f>
        <v>0</v>
      </c>
      <c r="V8" s="259">
        <f>SUMIF($I$3:$T$3,V$3,$I8:$T8)</f>
        <v>0</v>
      </c>
      <c r="W8" s="261">
        <f t="shared" si="7"/>
        <v>0</v>
      </c>
    </row>
    <row r="9" spans="1:23" ht="22.2" customHeight="1" x14ac:dyDescent="0.3">
      <c r="A9" s="257" t="s">
        <v>32</v>
      </c>
      <c r="B9" s="295"/>
      <c r="C9" s="258"/>
      <c r="D9" s="259">
        <f t="shared" si="3"/>
        <v>0</v>
      </c>
      <c r="E9" s="256"/>
      <c r="F9" s="258"/>
      <c r="G9" s="259">
        <f t="shared" si="0"/>
        <v>0</v>
      </c>
      <c r="H9" s="256"/>
      <c r="I9" s="258"/>
      <c r="J9" s="259">
        <f t="shared" si="1"/>
        <v>0</v>
      </c>
      <c r="K9" s="259"/>
      <c r="L9" s="260"/>
      <c r="M9" s="261">
        <f t="shared" si="4"/>
        <v>0</v>
      </c>
      <c r="O9" s="258"/>
      <c r="P9" s="259">
        <f t="shared" si="2"/>
        <v>0</v>
      </c>
      <c r="Q9" s="259"/>
      <c r="R9" s="260"/>
      <c r="S9" s="261">
        <f t="shared" si="5"/>
        <v>0</v>
      </c>
      <c r="U9" s="259">
        <f t="shared" si="6"/>
        <v>0</v>
      </c>
      <c r="V9" s="259">
        <f t="shared" si="6"/>
        <v>0</v>
      </c>
      <c r="W9" s="261">
        <f t="shared" si="7"/>
        <v>0</v>
      </c>
    </row>
    <row r="10" spans="1:23" ht="22.2" customHeight="1" x14ac:dyDescent="0.3">
      <c r="A10" s="257" t="s">
        <v>98</v>
      </c>
      <c r="B10" s="295"/>
      <c r="C10" s="258"/>
      <c r="D10" s="259">
        <f t="shared" si="3"/>
        <v>0</v>
      </c>
      <c r="E10" s="256"/>
      <c r="F10" s="258"/>
      <c r="G10" s="259">
        <f t="shared" si="0"/>
        <v>0</v>
      </c>
      <c r="H10" s="256"/>
      <c r="I10" s="258"/>
      <c r="J10" s="259">
        <f t="shared" si="1"/>
        <v>0</v>
      </c>
      <c r="K10" s="259"/>
      <c r="L10" s="260"/>
      <c r="M10" s="261">
        <f t="shared" si="4"/>
        <v>0</v>
      </c>
      <c r="O10" s="258"/>
      <c r="P10" s="259">
        <f t="shared" si="2"/>
        <v>0</v>
      </c>
      <c r="Q10" s="259"/>
      <c r="R10" s="260"/>
      <c r="S10" s="261">
        <f t="shared" si="5"/>
        <v>0</v>
      </c>
      <c r="U10" s="259">
        <f t="shared" si="6"/>
        <v>0</v>
      </c>
      <c r="V10" s="259">
        <f t="shared" si="6"/>
        <v>0</v>
      </c>
      <c r="W10" s="261">
        <f t="shared" si="7"/>
        <v>0</v>
      </c>
    </row>
    <row r="11" spans="1:23" ht="22.2" customHeight="1" x14ac:dyDescent="0.3">
      <c r="C11" s="297">
        <f>SUM(C4:C10)</f>
        <v>0</v>
      </c>
      <c r="D11" s="298">
        <f>SUM(D4:D10)</f>
        <v>0</v>
      </c>
      <c r="E11" s="256"/>
      <c r="F11" s="297">
        <f>SUM(F4:F10)</f>
        <v>0</v>
      </c>
      <c r="G11" s="298">
        <f>SUM(G4:G10)</f>
        <v>0</v>
      </c>
      <c r="H11" s="256"/>
      <c r="I11" s="309">
        <f>SUM(I4:I10)</f>
        <v>0</v>
      </c>
      <c r="J11" s="310">
        <f>SUM(J4:J10)</f>
        <v>0</v>
      </c>
      <c r="K11" s="309">
        <f>SUM(K4:K10)</f>
        <v>0</v>
      </c>
      <c r="L11" s="310">
        <f>SUM(L4:L10)</f>
        <v>0</v>
      </c>
      <c r="M11" s="310">
        <f>SUM(M4:M10)</f>
        <v>0</v>
      </c>
      <c r="O11" s="309">
        <f>SUM(O4:O10)</f>
        <v>0</v>
      </c>
      <c r="P11" s="310">
        <f>SUM(P4:P10)</f>
        <v>0</v>
      </c>
      <c r="Q11" s="309">
        <f>SUM(Q4:Q10)</f>
        <v>0</v>
      </c>
      <c r="R11" s="310">
        <f>SUM(R4:R10)</f>
        <v>0</v>
      </c>
      <c r="S11" s="310">
        <f>SUM(S4:S10)</f>
        <v>0</v>
      </c>
      <c r="U11" s="313">
        <f>SUM(U4:U10)</f>
        <v>0</v>
      </c>
      <c r="V11" s="314">
        <f>SUM(V4:V10)</f>
        <v>0</v>
      </c>
      <c r="W11" s="314">
        <f>SUM(W4:W10)</f>
        <v>0</v>
      </c>
    </row>
    <row r="12" spans="1:23" x14ac:dyDescent="0.3">
      <c r="C12" s="256"/>
      <c r="D12" s="256"/>
      <c r="E12" s="256"/>
      <c r="F12" s="256"/>
      <c r="G12" s="256"/>
      <c r="H12" s="256"/>
      <c r="I12" s="256"/>
      <c r="J12" s="256"/>
      <c r="K12" s="256"/>
      <c r="O12" s="256"/>
      <c r="P12" s="256"/>
      <c r="Q12" s="256"/>
      <c r="U12" s="256"/>
    </row>
    <row r="14" spans="1:23" x14ac:dyDescent="0.3">
      <c r="A14" s="262" t="s">
        <v>17</v>
      </c>
      <c r="B14" s="295"/>
      <c r="C14" s="258">
        <f>SUMIF($A$4:$A$10,$A14,C$4:C$10)</f>
        <v>0</v>
      </c>
      <c r="D14" s="296">
        <f>SUMIF($A$4:$A$10,$A14,D$4:D$10)</f>
        <v>0</v>
      </c>
      <c r="F14" s="258">
        <f>SUMIF($A$4:$A$10,$A14,F$4:F$10)</f>
        <v>0</v>
      </c>
      <c r="G14" s="296">
        <f>SUMIF($A$4:$A$10,$A14,G$4:G$10)</f>
        <v>0</v>
      </c>
      <c r="I14" s="258">
        <f>SUMIF($A$4:$A$10,$A14,I$4:I$10)</f>
        <v>0</v>
      </c>
      <c r="J14" s="296">
        <f>SUMIF($A$4:$A$10,$A14,J$4:J$10)</f>
        <v>0</v>
      </c>
      <c r="K14" s="258">
        <f>SUMIF($A$4:$A$10,$A14,K$4:K$10)</f>
        <v>0</v>
      </c>
      <c r="L14" s="296">
        <f>SUMIF($A$4:$A$10,$A14,L$4:L$10)</f>
        <v>0</v>
      </c>
      <c r="M14" s="296">
        <f>SUMIF($A$4:$A$10,$A14,M$4:M$10)</f>
        <v>0</v>
      </c>
      <c r="N14" s="12"/>
      <c r="O14" s="258">
        <f>SUMIF($A$4:$A$10,$A14,O$4:O$10)</f>
        <v>0</v>
      </c>
      <c r="P14" s="296">
        <f>SUMIF($A$4:$A$10,$A14,P$4:P$10)</f>
        <v>0</v>
      </c>
      <c r="Q14" s="258">
        <f>SUMIF($A$4:$A$10,$A14,Q$4:Q$10)</f>
        <v>0</v>
      </c>
      <c r="R14" s="296">
        <f>SUMIF($A$4:$A$10,$A14,R$4:R$10)</f>
        <v>0</v>
      </c>
      <c r="S14" s="296">
        <f>SUMIF($A$4:$A$10,$A14,S$4:S$10)</f>
        <v>0</v>
      </c>
      <c r="U14" s="258">
        <f>SUMIF($A$4:$A$10,$A14,U$4:U$10)</f>
        <v>0</v>
      </c>
      <c r="V14" s="296">
        <f>SUMIF($A$4:$A$10,$A14,V$4:V$10)</f>
        <v>0</v>
      </c>
      <c r="W14" s="296">
        <f>SUMIF($A$4:$A$10,$A14,W$4:W$10)</f>
        <v>0</v>
      </c>
    </row>
    <row r="15" spans="1:23" x14ac:dyDescent="0.3">
      <c r="A15" s="262" t="s">
        <v>97</v>
      </c>
      <c r="B15" s="295"/>
      <c r="C15" s="258">
        <f t="shared" ref="C15:R20" si="8">SUMIF($A$4:$A$10,$A15,C$4:C$10)</f>
        <v>0</v>
      </c>
      <c r="D15" s="296">
        <f t="shared" si="8"/>
        <v>0</v>
      </c>
      <c r="F15" s="258">
        <f t="shared" si="8"/>
        <v>0</v>
      </c>
      <c r="G15" s="296">
        <f t="shared" si="8"/>
        <v>0</v>
      </c>
      <c r="I15" s="258">
        <f t="shared" si="8"/>
        <v>0</v>
      </c>
      <c r="J15" s="296">
        <f t="shared" si="8"/>
        <v>0</v>
      </c>
      <c r="K15" s="258">
        <f t="shared" si="8"/>
        <v>0</v>
      </c>
      <c r="L15" s="296">
        <f t="shared" si="8"/>
        <v>0</v>
      </c>
      <c r="M15" s="296">
        <f t="shared" si="8"/>
        <v>0</v>
      </c>
      <c r="N15" s="12"/>
      <c r="O15" s="258">
        <f t="shared" si="8"/>
        <v>0</v>
      </c>
      <c r="P15" s="296">
        <f t="shared" si="8"/>
        <v>0</v>
      </c>
      <c r="Q15" s="258">
        <f t="shared" si="8"/>
        <v>0</v>
      </c>
      <c r="R15" s="296">
        <f t="shared" si="8"/>
        <v>0</v>
      </c>
      <c r="S15" s="296">
        <f t="shared" ref="O15:S20" si="9">SUMIF($A$4:$A$10,$A15,S$4:S$10)</f>
        <v>0</v>
      </c>
      <c r="U15" s="258">
        <f t="shared" ref="U15:W20" si="10">SUMIF($A$4:$A$10,$A15,U$4:U$10)</f>
        <v>0</v>
      </c>
      <c r="V15" s="296">
        <f t="shared" si="10"/>
        <v>0</v>
      </c>
      <c r="W15" s="296">
        <f t="shared" si="10"/>
        <v>0</v>
      </c>
    </row>
    <row r="16" spans="1:23" ht="24" x14ac:dyDescent="0.3">
      <c r="A16" s="262" t="s">
        <v>28</v>
      </c>
      <c r="B16" s="295"/>
      <c r="C16" s="258">
        <f t="shared" si="8"/>
        <v>0</v>
      </c>
      <c r="D16" s="296">
        <f t="shared" si="8"/>
        <v>0</v>
      </c>
      <c r="F16" s="258">
        <f t="shared" si="8"/>
        <v>0</v>
      </c>
      <c r="G16" s="296">
        <f t="shared" si="8"/>
        <v>0</v>
      </c>
      <c r="I16" s="258">
        <f t="shared" si="8"/>
        <v>0</v>
      </c>
      <c r="J16" s="296">
        <f t="shared" si="8"/>
        <v>0</v>
      </c>
      <c r="K16" s="258">
        <f t="shared" si="8"/>
        <v>0</v>
      </c>
      <c r="L16" s="296">
        <f t="shared" si="8"/>
        <v>0</v>
      </c>
      <c r="M16" s="296">
        <f t="shared" si="8"/>
        <v>0</v>
      </c>
      <c r="N16" s="12"/>
      <c r="O16" s="258">
        <f t="shared" si="9"/>
        <v>0</v>
      </c>
      <c r="P16" s="296">
        <f t="shared" si="9"/>
        <v>0</v>
      </c>
      <c r="Q16" s="258">
        <f t="shared" si="9"/>
        <v>0</v>
      </c>
      <c r="R16" s="296">
        <f t="shared" si="9"/>
        <v>0</v>
      </c>
      <c r="S16" s="296">
        <f t="shared" si="9"/>
        <v>0</v>
      </c>
      <c r="U16" s="258">
        <f t="shared" si="10"/>
        <v>0</v>
      </c>
      <c r="V16" s="296">
        <f t="shared" si="10"/>
        <v>0</v>
      </c>
      <c r="W16" s="296">
        <f t="shared" si="10"/>
        <v>0</v>
      </c>
    </row>
    <row r="17" spans="1:23" x14ac:dyDescent="0.3">
      <c r="A17" s="262" t="s">
        <v>29</v>
      </c>
      <c r="B17" s="295"/>
      <c r="C17" s="258">
        <f t="shared" si="8"/>
        <v>0</v>
      </c>
      <c r="D17" s="296">
        <f t="shared" si="8"/>
        <v>0</v>
      </c>
      <c r="F17" s="258">
        <f t="shared" si="8"/>
        <v>0</v>
      </c>
      <c r="G17" s="296">
        <f t="shared" si="8"/>
        <v>0</v>
      </c>
      <c r="I17" s="258">
        <f t="shared" si="8"/>
        <v>0</v>
      </c>
      <c r="J17" s="296">
        <f t="shared" si="8"/>
        <v>0</v>
      </c>
      <c r="K17" s="258">
        <f t="shared" si="8"/>
        <v>0</v>
      </c>
      <c r="L17" s="296">
        <f t="shared" si="8"/>
        <v>0</v>
      </c>
      <c r="M17" s="296">
        <f t="shared" si="8"/>
        <v>0</v>
      </c>
      <c r="N17" s="12"/>
      <c r="O17" s="258">
        <f t="shared" si="9"/>
        <v>0</v>
      </c>
      <c r="P17" s="296">
        <f t="shared" si="9"/>
        <v>0</v>
      </c>
      <c r="Q17" s="258">
        <f t="shared" si="9"/>
        <v>0</v>
      </c>
      <c r="R17" s="296">
        <f t="shared" si="9"/>
        <v>0</v>
      </c>
      <c r="S17" s="296">
        <f t="shared" si="9"/>
        <v>0</v>
      </c>
      <c r="U17" s="258">
        <f t="shared" si="10"/>
        <v>0</v>
      </c>
      <c r="V17" s="296">
        <f t="shared" si="10"/>
        <v>0</v>
      </c>
      <c r="W17" s="296">
        <f t="shared" si="10"/>
        <v>0</v>
      </c>
    </row>
    <row r="18" spans="1:23" x14ac:dyDescent="0.3">
      <c r="A18" s="262" t="s">
        <v>30</v>
      </c>
      <c r="B18" s="295"/>
      <c r="C18" s="258">
        <f t="shared" si="8"/>
        <v>0</v>
      </c>
      <c r="D18" s="296">
        <f t="shared" si="8"/>
        <v>0</v>
      </c>
      <c r="F18" s="258">
        <f t="shared" si="8"/>
        <v>0</v>
      </c>
      <c r="G18" s="296">
        <f t="shared" si="8"/>
        <v>0</v>
      </c>
      <c r="I18" s="258">
        <f t="shared" si="8"/>
        <v>0</v>
      </c>
      <c r="J18" s="296">
        <f t="shared" si="8"/>
        <v>0</v>
      </c>
      <c r="K18" s="258">
        <f t="shared" si="8"/>
        <v>0</v>
      </c>
      <c r="L18" s="296">
        <f t="shared" si="8"/>
        <v>0</v>
      </c>
      <c r="M18" s="296">
        <f t="shared" si="8"/>
        <v>0</v>
      </c>
      <c r="N18" s="12"/>
      <c r="O18" s="258">
        <f t="shared" si="9"/>
        <v>0</v>
      </c>
      <c r="P18" s="296">
        <f t="shared" si="9"/>
        <v>0</v>
      </c>
      <c r="Q18" s="258">
        <f t="shared" si="9"/>
        <v>0</v>
      </c>
      <c r="R18" s="296">
        <f t="shared" si="9"/>
        <v>0</v>
      </c>
      <c r="S18" s="296">
        <f t="shared" si="9"/>
        <v>0</v>
      </c>
      <c r="U18" s="258">
        <f t="shared" si="10"/>
        <v>0</v>
      </c>
      <c r="V18" s="296">
        <f t="shared" si="10"/>
        <v>0</v>
      </c>
      <c r="W18" s="296">
        <f t="shared" si="10"/>
        <v>0</v>
      </c>
    </row>
    <row r="19" spans="1:23" ht="24" x14ac:dyDescent="0.3">
      <c r="A19" s="262" t="s">
        <v>32</v>
      </c>
      <c r="B19" s="295"/>
      <c r="C19" s="258">
        <f t="shared" si="8"/>
        <v>0</v>
      </c>
      <c r="D19" s="296">
        <f t="shared" si="8"/>
        <v>0</v>
      </c>
      <c r="F19" s="258">
        <f t="shared" si="8"/>
        <v>0</v>
      </c>
      <c r="G19" s="296">
        <f t="shared" si="8"/>
        <v>0</v>
      </c>
      <c r="I19" s="258">
        <f t="shared" si="8"/>
        <v>0</v>
      </c>
      <c r="J19" s="296">
        <f t="shared" si="8"/>
        <v>0</v>
      </c>
      <c r="K19" s="258">
        <f t="shared" si="8"/>
        <v>0</v>
      </c>
      <c r="L19" s="296">
        <f t="shared" si="8"/>
        <v>0</v>
      </c>
      <c r="M19" s="296">
        <f t="shared" si="8"/>
        <v>0</v>
      </c>
      <c r="N19" s="12"/>
      <c r="O19" s="258">
        <f t="shared" si="9"/>
        <v>0</v>
      </c>
      <c r="P19" s="296">
        <f t="shared" si="9"/>
        <v>0</v>
      </c>
      <c r="Q19" s="258">
        <f t="shared" si="9"/>
        <v>0</v>
      </c>
      <c r="R19" s="296">
        <f t="shared" si="9"/>
        <v>0</v>
      </c>
      <c r="S19" s="296">
        <f t="shared" si="9"/>
        <v>0</v>
      </c>
      <c r="U19" s="258">
        <f t="shared" si="10"/>
        <v>0</v>
      </c>
      <c r="V19" s="296">
        <f t="shared" si="10"/>
        <v>0</v>
      </c>
      <c r="W19" s="296">
        <f t="shared" si="10"/>
        <v>0</v>
      </c>
    </row>
    <row r="20" spans="1:23" x14ac:dyDescent="0.3">
      <c r="A20" s="262" t="s">
        <v>98</v>
      </c>
      <c r="B20" s="295"/>
      <c r="C20" s="258">
        <f t="shared" si="8"/>
        <v>0</v>
      </c>
      <c r="D20" s="296">
        <f t="shared" si="8"/>
        <v>0</v>
      </c>
      <c r="F20" s="258">
        <f t="shared" si="8"/>
        <v>0</v>
      </c>
      <c r="G20" s="296">
        <f t="shared" si="8"/>
        <v>0</v>
      </c>
      <c r="I20" s="258">
        <f t="shared" si="8"/>
        <v>0</v>
      </c>
      <c r="J20" s="296">
        <f t="shared" si="8"/>
        <v>0</v>
      </c>
      <c r="K20" s="258">
        <f t="shared" si="8"/>
        <v>0</v>
      </c>
      <c r="L20" s="296">
        <f t="shared" si="8"/>
        <v>0</v>
      </c>
      <c r="M20" s="296">
        <f t="shared" si="8"/>
        <v>0</v>
      </c>
      <c r="N20" s="12"/>
      <c r="O20" s="258">
        <f t="shared" si="9"/>
        <v>0</v>
      </c>
      <c r="P20" s="296">
        <f t="shared" si="9"/>
        <v>0</v>
      </c>
      <c r="Q20" s="258">
        <f t="shared" si="9"/>
        <v>0</v>
      </c>
      <c r="R20" s="296">
        <f t="shared" si="9"/>
        <v>0</v>
      </c>
      <c r="S20" s="296">
        <f t="shared" si="9"/>
        <v>0</v>
      </c>
      <c r="U20" s="258">
        <f t="shared" si="10"/>
        <v>0</v>
      </c>
      <c r="V20" s="296">
        <f t="shared" si="10"/>
        <v>0</v>
      </c>
      <c r="W20" s="296">
        <f t="shared" si="10"/>
        <v>0</v>
      </c>
    </row>
    <row r="21" spans="1:23" x14ac:dyDescent="0.3">
      <c r="C21" s="297">
        <f>SUM(C14:C20)</f>
        <v>0</v>
      </c>
      <c r="D21" s="298">
        <f t="shared" ref="D21:M21" si="11">SUM(D14:D20)</f>
        <v>0</v>
      </c>
      <c r="E21" s="126"/>
      <c r="F21" s="297">
        <f t="shared" si="11"/>
        <v>0</v>
      </c>
      <c r="G21" s="298">
        <f t="shared" si="11"/>
        <v>0</v>
      </c>
      <c r="H21" s="126"/>
      <c r="I21" s="309">
        <f t="shared" si="11"/>
        <v>0</v>
      </c>
      <c r="J21" s="310">
        <f t="shared" si="11"/>
        <v>0</v>
      </c>
      <c r="K21" s="309">
        <f t="shared" si="11"/>
        <v>0</v>
      </c>
      <c r="L21" s="310">
        <f t="shared" si="11"/>
        <v>0</v>
      </c>
      <c r="M21" s="310">
        <f t="shared" si="11"/>
        <v>0</v>
      </c>
      <c r="N21" s="126"/>
      <c r="O21" s="309">
        <f t="shared" ref="O21:S21" si="12">SUM(O14:O20)</f>
        <v>0</v>
      </c>
      <c r="P21" s="310">
        <f t="shared" si="12"/>
        <v>0</v>
      </c>
      <c r="Q21" s="309">
        <f t="shared" si="12"/>
        <v>0</v>
      </c>
      <c r="R21" s="310">
        <f t="shared" si="12"/>
        <v>0</v>
      </c>
      <c r="S21" s="310">
        <f t="shared" si="12"/>
        <v>0</v>
      </c>
      <c r="U21" s="313">
        <f t="shared" ref="U21:W21" si="13">SUM(U14:U20)</f>
        <v>0</v>
      </c>
      <c r="V21" s="314">
        <f t="shared" si="13"/>
        <v>0</v>
      </c>
      <c r="W21" s="314">
        <f t="shared" si="13"/>
        <v>0</v>
      </c>
    </row>
  </sheetData>
  <mergeCells count="7">
    <mergeCell ref="U2:W2"/>
    <mergeCell ref="O1:P1"/>
    <mergeCell ref="Q2:S2"/>
    <mergeCell ref="C1:D1"/>
    <mergeCell ref="F1:G1"/>
    <mergeCell ref="I1:J1"/>
    <mergeCell ref="K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
  <sheetViews>
    <sheetView showGridLines="0" topLeftCell="A6" zoomScale="90" zoomScaleNormal="90" workbookViewId="0">
      <selection activeCell="B27" sqref="B27:M27"/>
    </sheetView>
  </sheetViews>
  <sheetFormatPr baseColWidth="10" defaultColWidth="11.44140625" defaultRowHeight="13.8" x14ac:dyDescent="0.3"/>
  <cols>
    <col min="1" max="1" width="2.109375" style="6" customWidth="1"/>
    <col min="2" max="2" width="11.6640625" style="6" customWidth="1"/>
    <col min="3" max="3" width="10.109375" style="6" customWidth="1"/>
    <col min="4" max="4" width="11.6640625" style="6" customWidth="1"/>
    <col min="5" max="5" width="21.44140625" style="6" customWidth="1"/>
    <col min="6" max="6" width="17.109375" style="6" customWidth="1"/>
    <col min="7" max="11" width="15.6640625" style="6" customWidth="1"/>
    <col min="12" max="12" width="2.44140625" style="6" customWidth="1"/>
    <col min="13" max="13" width="70.6640625" style="6" customWidth="1"/>
    <col min="14" max="14" width="2.88671875" style="6" customWidth="1"/>
    <col min="15" max="18" width="11.44140625" style="6"/>
    <col min="19" max="19" width="2.44140625" style="6" customWidth="1"/>
    <col min="20" max="16384" width="11.44140625" style="6"/>
  </cols>
  <sheetData>
    <row r="1" spans="1:14" s="137" customFormat="1" ht="24" customHeight="1" x14ac:dyDescent="0.3">
      <c r="A1" s="134"/>
      <c r="B1" s="381" t="s">
        <v>138</v>
      </c>
      <c r="C1" s="381"/>
      <c r="D1" s="381"/>
      <c r="E1" s="381"/>
      <c r="F1" s="381"/>
      <c r="G1" s="381"/>
      <c r="H1" s="381"/>
      <c r="I1" s="381"/>
      <c r="J1" s="381"/>
      <c r="K1" s="381"/>
      <c r="L1" s="135"/>
      <c r="M1" s="161" t="s">
        <v>4</v>
      </c>
      <c r="N1" s="136"/>
    </row>
    <row r="2" spans="1:14" ht="17.399999999999999" customHeight="1" x14ac:dyDescent="0.3">
      <c r="A2" s="138"/>
      <c r="B2" s="162" t="s">
        <v>5</v>
      </c>
      <c r="C2" s="139"/>
      <c r="L2" s="140"/>
      <c r="M2" s="380" t="s">
        <v>142</v>
      </c>
      <c r="N2" s="141"/>
    </row>
    <row r="3" spans="1:14" s="8" customFormat="1" ht="27" customHeight="1" x14ac:dyDescent="0.3">
      <c r="A3" s="142"/>
      <c r="B3" s="393" t="s">
        <v>6</v>
      </c>
      <c r="C3" s="394"/>
      <c r="D3" s="394"/>
      <c r="E3" s="394"/>
      <c r="F3" s="395"/>
      <c r="G3" s="386" t="s">
        <v>7</v>
      </c>
      <c r="H3" s="386"/>
      <c r="I3" s="386"/>
      <c r="J3" s="386"/>
      <c r="K3" s="386"/>
      <c r="L3" s="143"/>
      <c r="M3" s="380"/>
      <c r="N3" s="144"/>
    </row>
    <row r="4" spans="1:14" ht="22.5" customHeight="1" x14ac:dyDescent="0.3">
      <c r="A4" s="138"/>
      <c r="B4" s="387" t="s">
        <v>8</v>
      </c>
      <c r="C4" s="388"/>
      <c r="D4" s="388"/>
      <c r="E4" s="388"/>
      <c r="F4" s="389"/>
      <c r="G4" s="7" t="s">
        <v>9</v>
      </c>
      <c r="H4" s="7" t="s">
        <v>10</v>
      </c>
      <c r="I4" s="7" t="s">
        <v>11</v>
      </c>
      <c r="J4" s="145" t="s">
        <v>12</v>
      </c>
      <c r="K4" s="140"/>
      <c r="L4" s="140"/>
      <c r="M4" s="380"/>
      <c r="N4" s="141"/>
    </row>
    <row r="5" spans="1:14" ht="23.25" customHeight="1" x14ac:dyDescent="0.3">
      <c r="A5" s="138"/>
      <c r="B5" s="390"/>
      <c r="C5" s="391"/>
      <c r="D5" s="391"/>
      <c r="E5" s="391"/>
      <c r="F5" s="392"/>
      <c r="G5" s="146">
        <v>900</v>
      </c>
      <c r="H5" s="146">
        <v>980</v>
      </c>
      <c r="I5" s="146">
        <v>1</v>
      </c>
      <c r="J5" s="147"/>
      <c r="K5" s="140"/>
      <c r="L5" s="140"/>
      <c r="M5" s="380"/>
      <c r="N5" s="141"/>
    </row>
    <row r="6" spans="1:14" s="8" customFormat="1" ht="10.5" customHeight="1" x14ac:dyDescent="0.3">
      <c r="A6" s="142"/>
      <c r="L6" s="143"/>
      <c r="M6" s="380"/>
      <c r="N6" s="144"/>
    </row>
    <row r="7" spans="1:14" ht="19.95" customHeight="1" x14ac:dyDescent="0.3">
      <c r="A7" s="138"/>
      <c r="B7" s="385" t="s">
        <v>139</v>
      </c>
      <c r="C7" s="385"/>
      <c r="D7" s="385"/>
      <c r="E7" s="385"/>
      <c r="F7" s="382" t="s">
        <v>13</v>
      </c>
      <c r="G7" s="346" t="s">
        <v>14</v>
      </c>
      <c r="H7" s="382" t="s">
        <v>15</v>
      </c>
      <c r="I7" s="382" t="s">
        <v>133</v>
      </c>
      <c r="J7" s="367" t="s">
        <v>143</v>
      </c>
      <c r="K7" s="368"/>
      <c r="L7" s="140"/>
      <c r="M7" s="380"/>
      <c r="N7" s="141"/>
    </row>
    <row r="8" spans="1:14" ht="19.95" customHeight="1" x14ac:dyDescent="0.3">
      <c r="A8" s="138"/>
      <c r="B8" s="385"/>
      <c r="C8" s="385"/>
      <c r="D8" s="385"/>
      <c r="E8" s="385"/>
      <c r="F8" s="382"/>
      <c r="G8" s="145" t="s">
        <v>9</v>
      </c>
      <c r="H8" s="382"/>
      <c r="I8" s="382"/>
      <c r="J8" s="369"/>
      <c r="K8" s="370"/>
      <c r="L8" s="140"/>
      <c r="M8" s="380"/>
      <c r="N8" s="141"/>
    </row>
    <row r="9" spans="1:14" ht="31.2" customHeight="1" x14ac:dyDescent="0.3">
      <c r="A9" s="138"/>
      <c r="B9" s="384" t="s">
        <v>16</v>
      </c>
      <c r="C9" s="384"/>
      <c r="D9" s="385" t="s">
        <v>125</v>
      </c>
      <c r="E9" s="385"/>
      <c r="F9" s="148"/>
      <c r="G9" s="149"/>
      <c r="H9" s="150">
        <f>IF($G$8&gt;0,G9*HLOOKUP($G$8,$G$4:$J$5,2,0),0)</f>
        <v>0</v>
      </c>
      <c r="I9" s="348">
        <f>+H9</f>
        <v>0</v>
      </c>
      <c r="J9" s="371"/>
      <c r="K9" s="372"/>
      <c r="L9" s="140"/>
      <c r="M9" s="380"/>
      <c r="N9" s="141"/>
    </row>
    <row r="10" spans="1:14" ht="30" customHeight="1" x14ac:dyDescent="0.3">
      <c r="A10" s="138"/>
      <c r="B10" s="384"/>
      <c r="C10" s="384"/>
      <c r="D10" s="385" t="s">
        <v>97</v>
      </c>
      <c r="E10" s="385"/>
      <c r="F10" s="148"/>
      <c r="G10" s="149"/>
      <c r="H10" s="150">
        <f>IF($G$8&gt;0,G10*HLOOKUP($G$8,$G$4:$J$5,2,0),0)</f>
        <v>0</v>
      </c>
      <c r="I10" s="348">
        <f>+H10</f>
        <v>0</v>
      </c>
      <c r="J10" s="373"/>
      <c r="K10" s="374"/>
      <c r="L10" s="140"/>
      <c r="M10" s="380"/>
      <c r="N10" s="141"/>
    </row>
    <row r="11" spans="1:14" x14ac:dyDescent="0.3">
      <c r="A11" s="138"/>
      <c r="L11" s="140"/>
      <c r="M11" s="380"/>
      <c r="N11" s="141"/>
    </row>
    <row r="12" spans="1:14" ht="19.95" customHeight="1" x14ac:dyDescent="0.3">
      <c r="A12" s="138"/>
      <c r="B12" s="385" t="s">
        <v>140</v>
      </c>
      <c r="C12" s="385"/>
      <c r="D12" s="385"/>
      <c r="E12" s="385"/>
      <c r="F12" s="382" t="s">
        <v>13</v>
      </c>
      <c r="G12" s="346" t="s">
        <v>14</v>
      </c>
      <c r="H12" s="382" t="s">
        <v>15</v>
      </c>
      <c r="I12" s="382" t="s">
        <v>133</v>
      </c>
      <c r="J12" s="367" t="s">
        <v>143</v>
      </c>
      <c r="K12" s="368"/>
      <c r="L12" s="140"/>
      <c r="M12" s="380"/>
      <c r="N12" s="141"/>
    </row>
    <row r="13" spans="1:14" ht="19.95" customHeight="1" x14ac:dyDescent="0.3">
      <c r="A13" s="138"/>
      <c r="B13" s="385"/>
      <c r="C13" s="385"/>
      <c r="D13" s="385"/>
      <c r="E13" s="385"/>
      <c r="F13" s="382"/>
      <c r="G13" s="145" t="s">
        <v>9</v>
      </c>
      <c r="H13" s="382"/>
      <c r="I13" s="382"/>
      <c r="J13" s="369"/>
      <c r="K13" s="370"/>
      <c r="L13" s="140"/>
      <c r="M13" s="380"/>
      <c r="N13" s="141"/>
    </row>
    <row r="14" spans="1:14" ht="30" customHeight="1" x14ac:dyDescent="0.3">
      <c r="A14" s="138"/>
      <c r="B14" s="384" t="s">
        <v>16</v>
      </c>
      <c r="C14" s="384"/>
      <c r="D14" s="383" t="s">
        <v>126</v>
      </c>
      <c r="E14" s="383"/>
      <c r="F14" s="350" t="s">
        <v>153</v>
      </c>
      <c r="G14" s="351">
        <v>282462</v>
      </c>
      <c r="H14" s="352">
        <f t="shared" ref="H14:H24" si="0">IF($G$13&gt;0,G14*HLOOKUP($G$13,$G$4:$J$5,2,0),0)</f>
        <v>254215800</v>
      </c>
      <c r="I14" s="352">
        <f t="shared" ref="I14:I24" si="1">+H14</f>
        <v>254215800</v>
      </c>
      <c r="J14" s="378" t="s">
        <v>144</v>
      </c>
      <c r="K14" s="379"/>
      <c r="L14" s="140"/>
      <c r="M14" s="380"/>
      <c r="N14" s="141"/>
    </row>
    <row r="15" spans="1:14" ht="30" customHeight="1" x14ac:dyDescent="0.3">
      <c r="A15" s="138"/>
      <c r="B15" s="384"/>
      <c r="C15" s="384"/>
      <c r="D15" s="375" t="s">
        <v>127</v>
      </c>
      <c r="E15" s="375"/>
      <c r="F15" s="353" t="s">
        <v>153</v>
      </c>
      <c r="G15" s="354">
        <v>278176</v>
      </c>
      <c r="H15" s="355">
        <f t="shared" si="0"/>
        <v>250358400</v>
      </c>
      <c r="I15" s="355">
        <f>+I14+H15</f>
        <v>504574200</v>
      </c>
      <c r="J15" s="359" t="s">
        <v>144</v>
      </c>
      <c r="K15" s="360"/>
      <c r="L15" s="140"/>
      <c r="M15" s="380"/>
      <c r="N15" s="141"/>
    </row>
    <row r="16" spans="1:14" ht="30" customHeight="1" x14ac:dyDescent="0.3">
      <c r="A16" s="138"/>
      <c r="B16" s="384"/>
      <c r="C16" s="384"/>
      <c r="D16" s="375" t="s">
        <v>128</v>
      </c>
      <c r="E16" s="375"/>
      <c r="F16" s="353" t="s">
        <v>153</v>
      </c>
      <c r="G16" s="354">
        <v>153327</v>
      </c>
      <c r="H16" s="355">
        <f t="shared" si="0"/>
        <v>137994300</v>
      </c>
      <c r="I16" s="355">
        <f t="shared" ref="I16:I23" si="2">+I15+H16</f>
        <v>642568500</v>
      </c>
      <c r="J16" s="359" t="s">
        <v>144</v>
      </c>
      <c r="K16" s="360"/>
      <c r="L16" s="140"/>
      <c r="M16" s="380"/>
      <c r="N16" s="141"/>
    </row>
    <row r="17" spans="1:15" ht="30" customHeight="1" x14ac:dyDescent="0.3">
      <c r="A17" s="138"/>
      <c r="B17" s="384"/>
      <c r="C17" s="384"/>
      <c r="D17" s="375" t="s">
        <v>129</v>
      </c>
      <c r="E17" s="375"/>
      <c r="F17" s="353" t="s">
        <v>153</v>
      </c>
      <c r="G17" s="354">
        <v>95890</v>
      </c>
      <c r="H17" s="355">
        <f t="shared" si="0"/>
        <v>86301000</v>
      </c>
      <c r="I17" s="355">
        <f t="shared" si="2"/>
        <v>728869500</v>
      </c>
      <c r="J17" s="359" t="s">
        <v>144</v>
      </c>
      <c r="K17" s="360"/>
      <c r="L17" s="140"/>
      <c r="M17" s="380"/>
      <c r="N17" s="141"/>
    </row>
    <row r="18" spans="1:15" ht="30" customHeight="1" x14ac:dyDescent="0.3">
      <c r="A18" s="138"/>
      <c r="B18" s="384"/>
      <c r="C18" s="384"/>
      <c r="D18" s="375" t="s">
        <v>130</v>
      </c>
      <c r="E18" s="375"/>
      <c r="F18" s="353"/>
      <c r="G18" s="354"/>
      <c r="H18" s="355">
        <f t="shared" si="0"/>
        <v>0</v>
      </c>
      <c r="I18" s="355">
        <f t="shared" si="2"/>
        <v>728869500</v>
      </c>
      <c r="J18" s="359"/>
      <c r="K18" s="360"/>
      <c r="L18" s="140"/>
      <c r="M18" s="380"/>
      <c r="N18" s="141"/>
    </row>
    <row r="19" spans="1:15" ht="30" customHeight="1" x14ac:dyDescent="0.3">
      <c r="A19" s="138"/>
      <c r="B19" s="384"/>
      <c r="C19" s="384"/>
      <c r="D19" s="375" t="s">
        <v>131</v>
      </c>
      <c r="E19" s="375"/>
      <c r="F19" s="353"/>
      <c r="G19" s="354"/>
      <c r="H19" s="355">
        <f t="shared" si="0"/>
        <v>0</v>
      </c>
      <c r="I19" s="355">
        <f t="shared" si="2"/>
        <v>728869500</v>
      </c>
      <c r="J19" s="359"/>
      <c r="K19" s="360"/>
      <c r="L19" s="140"/>
      <c r="M19" s="380"/>
      <c r="N19" s="141"/>
    </row>
    <row r="20" spans="1:15" ht="30" customHeight="1" x14ac:dyDescent="0.3">
      <c r="A20" s="138"/>
      <c r="B20" s="384"/>
      <c r="C20" s="384"/>
      <c r="D20" s="375" t="s">
        <v>132</v>
      </c>
      <c r="E20" s="375"/>
      <c r="F20" s="353"/>
      <c r="G20" s="354"/>
      <c r="H20" s="355">
        <f t="shared" si="0"/>
        <v>0</v>
      </c>
      <c r="I20" s="355">
        <f t="shared" si="2"/>
        <v>728869500</v>
      </c>
      <c r="J20" s="359"/>
      <c r="K20" s="360"/>
      <c r="L20" s="140"/>
      <c r="M20" s="380"/>
      <c r="N20" s="141"/>
    </row>
    <row r="21" spans="1:15" ht="30" customHeight="1" x14ac:dyDescent="0.3">
      <c r="A21" s="138"/>
      <c r="B21" s="384"/>
      <c r="C21" s="384"/>
      <c r="D21" s="375" t="s">
        <v>134</v>
      </c>
      <c r="E21" s="375"/>
      <c r="F21" s="353"/>
      <c r="G21" s="354"/>
      <c r="H21" s="355">
        <f t="shared" si="0"/>
        <v>0</v>
      </c>
      <c r="I21" s="355">
        <f t="shared" si="2"/>
        <v>728869500</v>
      </c>
      <c r="J21" s="359"/>
      <c r="K21" s="360"/>
      <c r="L21" s="140"/>
      <c r="M21" s="380"/>
      <c r="N21" s="141"/>
    </row>
    <row r="22" spans="1:15" ht="30" customHeight="1" x14ac:dyDescent="0.3">
      <c r="A22" s="138"/>
      <c r="B22" s="384"/>
      <c r="C22" s="384"/>
      <c r="D22" s="375" t="s">
        <v>135</v>
      </c>
      <c r="E22" s="375"/>
      <c r="F22" s="353"/>
      <c r="G22" s="354"/>
      <c r="H22" s="355">
        <f t="shared" si="0"/>
        <v>0</v>
      </c>
      <c r="I22" s="355">
        <f t="shared" si="2"/>
        <v>728869500</v>
      </c>
      <c r="J22" s="359"/>
      <c r="K22" s="360"/>
      <c r="L22" s="140"/>
      <c r="M22" s="380"/>
      <c r="N22" s="141"/>
    </row>
    <row r="23" spans="1:15" ht="30" customHeight="1" x14ac:dyDescent="0.3">
      <c r="A23" s="138"/>
      <c r="B23" s="384"/>
      <c r="C23" s="384"/>
      <c r="D23" s="376" t="s">
        <v>136</v>
      </c>
      <c r="E23" s="376"/>
      <c r="F23" s="356"/>
      <c r="G23" s="357"/>
      <c r="H23" s="358">
        <f t="shared" si="0"/>
        <v>0</v>
      </c>
      <c r="I23" s="358">
        <f t="shared" si="2"/>
        <v>728869500</v>
      </c>
      <c r="J23" s="361"/>
      <c r="K23" s="362"/>
      <c r="L23" s="140"/>
      <c r="M23" s="380"/>
      <c r="N23" s="141"/>
    </row>
    <row r="24" spans="1:15" ht="30" customHeight="1" x14ac:dyDescent="0.3">
      <c r="A24" s="138"/>
      <c r="B24" s="384"/>
      <c r="C24" s="384"/>
      <c r="D24" s="385" t="s">
        <v>97</v>
      </c>
      <c r="E24" s="385"/>
      <c r="F24" s="148"/>
      <c r="G24" s="149"/>
      <c r="H24" s="150">
        <f t="shared" si="0"/>
        <v>0</v>
      </c>
      <c r="I24" s="348">
        <f t="shared" si="1"/>
        <v>0</v>
      </c>
      <c r="J24" s="373"/>
      <c r="K24" s="374"/>
      <c r="L24" s="140"/>
      <c r="M24" s="380"/>
      <c r="N24" s="141"/>
    </row>
    <row r="25" spans="1:15" ht="12.75" hidden="1" customHeight="1" x14ac:dyDescent="0.3">
      <c r="A25" s="138"/>
      <c r="B25" s="151"/>
      <c r="C25" s="151"/>
      <c r="D25" s="151"/>
      <c r="E25" s="151"/>
      <c r="F25" s="151"/>
      <c r="G25" s="151"/>
      <c r="H25" s="151"/>
      <c r="I25" s="151"/>
      <c r="J25" s="151"/>
      <c r="K25" s="151"/>
      <c r="L25" s="152"/>
      <c r="M25" s="153"/>
      <c r="N25" s="141"/>
    </row>
    <row r="26" spans="1:15" ht="27.75" customHeight="1" x14ac:dyDescent="0.3">
      <c r="A26" s="154"/>
      <c r="B26" s="377" t="s">
        <v>124</v>
      </c>
      <c r="C26" s="377"/>
      <c r="D26" s="377"/>
      <c r="E26" s="377"/>
      <c r="F26" s="377"/>
      <c r="G26" s="377"/>
      <c r="H26" s="377"/>
      <c r="I26" s="377"/>
      <c r="J26" s="377"/>
      <c r="K26" s="377"/>
      <c r="L26" s="377"/>
      <c r="M26" s="377"/>
      <c r="N26" s="155"/>
      <c r="O26" s="9"/>
    </row>
    <row r="27" spans="1:15" ht="221.4" customHeight="1" x14ac:dyDescent="0.3">
      <c r="A27" s="138"/>
      <c r="B27" s="365" t="s">
        <v>157</v>
      </c>
      <c r="C27" s="366"/>
      <c r="D27" s="366"/>
      <c r="E27" s="366"/>
      <c r="F27" s="366"/>
      <c r="G27" s="366"/>
      <c r="H27" s="366"/>
      <c r="I27" s="366"/>
      <c r="J27" s="366"/>
      <c r="K27" s="366"/>
      <c r="L27" s="366"/>
      <c r="M27" s="366"/>
      <c r="N27" s="141"/>
    </row>
    <row r="28" spans="1:15" x14ac:dyDescent="0.3">
      <c r="A28" s="156"/>
      <c r="B28" s="157"/>
      <c r="C28" s="157"/>
      <c r="D28" s="157"/>
      <c r="E28" s="157"/>
      <c r="F28" s="157"/>
      <c r="G28" s="158"/>
      <c r="H28" s="158"/>
      <c r="I28" s="158"/>
      <c r="J28" s="158"/>
      <c r="K28" s="158"/>
      <c r="L28" s="158"/>
      <c r="M28" s="158"/>
      <c r="N28" s="159"/>
    </row>
    <row r="30" spans="1:15" x14ac:dyDescent="0.3">
      <c r="B30" s="364"/>
      <c r="C30" s="364"/>
      <c r="D30" s="364"/>
      <c r="E30" s="364"/>
      <c r="F30" s="364"/>
      <c r="G30" s="364"/>
      <c r="H30" s="364"/>
      <c r="I30" s="364"/>
      <c r="J30" s="364"/>
      <c r="K30" s="364"/>
      <c r="L30" s="364"/>
      <c r="M30" s="364"/>
    </row>
    <row r="31" spans="1:15" x14ac:dyDescent="0.3">
      <c r="B31" s="364"/>
      <c r="C31" s="364"/>
      <c r="D31" s="364"/>
      <c r="E31" s="364"/>
      <c r="F31" s="364"/>
      <c r="G31" s="364"/>
      <c r="H31" s="364"/>
      <c r="I31" s="364"/>
      <c r="J31" s="364"/>
      <c r="K31" s="364"/>
      <c r="L31" s="364"/>
      <c r="M31" s="364"/>
    </row>
    <row r="32" spans="1:15" x14ac:dyDescent="0.3">
      <c r="B32" s="364"/>
      <c r="C32" s="364"/>
      <c r="D32" s="364"/>
      <c r="E32" s="364"/>
      <c r="F32" s="364"/>
      <c r="G32" s="364"/>
      <c r="H32" s="364"/>
      <c r="I32" s="364"/>
      <c r="J32" s="364"/>
      <c r="K32" s="364"/>
      <c r="L32" s="364"/>
      <c r="M32" s="364"/>
    </row>
    <row r="33" spans="2:15" x14ac:dyDescent="0.3">
      <c r="B33" s="364"/>
      <c r="C33" s="364"/>
      <c r="D33" s="364"/>
      <c r="E33" s="364"/>
      <c r="F33" s="364"/>
      <c r="G33" s="364"/>
      <c r="H33" s="364"/>
      <c r="I33" s="364"/>
      <c r="J33" s="364"/>
      <c r="K33" s="364"/>
      <c r="L33" s="364"/>
      <c r="M33" s="364"/>
    </row>
    <row r="34" spans="2:15" x14ac:dyDescent="0.3">
      <c r="B34" s="364"/>
      <c r="C34" s="364"/>
      <c r="D34" s="364"/>
      <c r="E34" s="364"/>
      <c r="F34" s="364"/>
      <c r="G34" s="364"/>
      <c r="H34" s="364"/>
      <c r="I34" s="364"/>
      <c r="J34" s="364"/>
      <c r="K34" s="364"/>
      <c r="L34" s="364"/>
      <c r="M34" s="364"/>
    </row>
    <row r="35" spans="2:15" x14ac:dyDescent="0.3">
      <c r="B35" s="364"/>
      <c r="C35" s="364"/>
      <c r="D35" s="364"/>
      <c r="E35" s="364"/>
      <c r="F35" s="364"/>
      <c r="G35" s="364"/>
      <c r="H35" s="364"/>
      <c r="I35" s="364"/>
      <c r="J35" s="364"/>
      <c r="K35" s="364"/>
      <c r="L35" s="364"/>
      <c r="M35" s="364"/>
    </row>
    <row r="36" spans="2:15" x14ac:dyDescent="0.3">
      <c r="B36" s="364"/>
      <c r="C36" s="364"/>
      <c r="D36" s="364"/>
      <c r="E36" s="364"/>
      <c r="F36" s="364"/>
      <c r="G36" s="364"/>
      <c r="H36" s="364"/>
      <c r="I36" s="364"/>
      <c r="J36" s="364"/>
      <c r="K36" s="364"/>
      <c r="L36" s="364"/>
      <c r="M36" s="364"/>
    </row>
    <row r="37" spans="2:15" x14ac:dyDescent="0.3">
      <c r="B37" s="364"/>
      <c r="C37" s="364"/>
      <c r="D37" s="364"/>
      <c r="E37" s="364"/>
      <c r="F37" s="364"/>
      <c r="G37" s="364"/>
      <c r="H37" s="364"/>
      <c r="I37" s="364"/>
      <c r="J37" s="364"/>
      <c r="K37" s="364"/>
      <c r="L37" s="364"/>
      <c r="M37" s="364"/>
    </row>
    <row r="38" spans="2:15" x14ac:dyDescent="0.3">
      <c r="B38" s="364"/>
      <c r="C38" s="364"/>
      <c r="D38" s="364"/>
      <c r="E38" s="364"/>
      <c r="F38" s="364"/>
      <c r="G38" s="364"/>
      <c r="H38" s="364"/>
      <c r="I38" s="364"/>
      <c r="J38" s="364"/>
      <c r="K38" s="364"/>
      <c r="L38" s="364"/>
      <c r="M38" s="364"/>
    </row>
    <row r="39" spans="2:15" x14ac:dyDescent="0.3">
      <c r="B39" s="364"/>
      <c r="C39" s="364"/>
      <c r="D39" s="364"/>
      <c r="E39" s="364"/>
      <c r="F39" s="364"/>
      <c r="G39" s="364"/>
      <c r="H39" s="364"/>
      <c r="I39" s="364"/>
      <c r="J39" s="364"/>
      <c r="K39" s="364"/>
      <c r="L39" s="364"/>
      <c r="M39" s="364"/>
    </row>
    <row r="40" spans="2:15" x14ac:dyDescent="0.3">
      <c r="B40" s="364"/>
      <c r="C40" s="364"/>
      <c r="D40" s="364"/>
      <c r="E40" s="364"/>
      <c r="F40" s="364"/>
      <c r="G40" s="364"/>
      <c r="H40" s="364"/>
      <c r="I40" s="364"/>
      <c r="J40" s="364"/>
      <c r="K40" s="364"/>
      <c r="L40" s="364"/>
      <c r="M40" s="364"/>
    </row>
    <row r="41" spans="2:15" x14ac:dyDescent="0.3">
      <c r="B41" s="364"/>
      <c r="C41" s="364"/>
      <c r="D41" s="364"/>
      <c r="E41" s="364"/>
      <c r="F41" s="364"/>
      <c r="G41" s="364"/>
      <c r="H41" s="364"/>
      <c r="I41" s="364"/>
      <c r="J41" s="364"/>
      <c r="K41" s="364"/>
      <c r="L41" s="364"/>
      <c r="M41" s="364"/>
    </row>
    <row r="45" spans="2:15" x14ac:dyDescent="0.3">
      <c r="N45" s="8"/>
      <c r="O45" s="8"/>
    </row>
    <row r="48" spans="2:15" x14ac:dyDescent="0.3">
      <c r="N48" s="8"/>
      <c r="O48" s="8"/>
    </row>
  </sheetData>
  <sheetProtection password="EE9B" sheet="1" formatRows="0" selectLockedCells="1"/>
  <mergeCells count="48">
    <mergeCell ref="D15:E15"/>
    <mergeCell ref="D16:E16"/>
    <mergeCell ref="I7:I8"/>
    <mergeCell ref="I12:I13"/>
    <mergeCell ref="D20:E20"/>
    <mergeCell ref="B1:K1"/>
    <mergeCell ref="H7:H8"/>
    <mergeCell ref="F7:F8"/>
    <mergeCell ref="D14:E14"/>
    <mergeCell ref="B14:C24"/>
    <mergeCell ref="B9:C10"/>
    <mergeCell ref="D9:E9"/>
    <mergeCell ref="B7:E8"/>
    <mergeCell ref="D10:E10"/>
    <mergeCell ref="G3:K3"/>
    <mergeCell ref="H12:H13"/>
    <mergeCell ref="F12:F13"/>
    <mergeCell ref="B12:E13"/>
    <mergeCell ref="B4:F5"/>
    <mergeCell ref="D24:E24"/>
    <mergeCell ref="B3:F3"/>
    <mergeCell ref="J7:K8"/>
    <mergeCell ref="J9:K9"/>
    <mergeCell ref="J24:K24"/>
    <mergeCell ref="B31:M31"/>
    <mergeCell ref="B32:M32"/>
    <mergeCell ref="D21:E21"/>
    <mergeCell ref="D22:E22"/>
    <mergeCell ref="D23:E23"/>
    <mergeCell ref="B26:M26"/>
    <mergeCell ref="J10:K10"/>
    <mergeCell ref="J12:K13"/>
    <mergeCell ref="J14:K14"/>
    <mergeCell ref="M2:M24"/>
    <mergeCell ref="D17:E17"/>
    <mergeCell ref="D18:E18"/>
    <mergeCell ref="D19:E19"/>
    <mergeCell ref="B33:M33"/>
    <mergeCell ref="B34:M34"/>
    <mergeCell ref="B27:M27"/>
    <mergeCell ref="B30:M30"/>
    <mergeCell ref="B41:M41"/>
    <mergeCell ref="B35:M35"/>
    <mergeCell ref="B36:M36"/>
    <mergeCell ref="B37:M37"/>
    <mergeCell ref="B38:M38"/>
    <mergeCell ref="B39:M39"/>
    <mergeCell ref="B40:M40"/>
  </mergeCells>
  <dataValidations count="2">
    <dataValidation type="custom" allowBlank="1" showInputMessage="1" showErrorMessage="1" sqref="H9:H10 H14:H24" xr:uid="{00000000-0002-0000-0100-000000000000}">
      <formula1>H9</formula1>
    </dataValidation>
    <dataValidation type="list" allowBlank="1" showInputMessage="1" showErrorMessage="1" sqref="G8 G13" xr:uid="{00000000-0002-0000-0100-000001000000}">
      <formula1>$G$4:$J$4</formula1>
    </dataValidation>
  </dataValidations>
  <printOptions horizontalCentered="1"/>
  <pageMargins left="0" right="0" top="0.78740157480314965" bottom="0.78740157480314965" header="0" footer="0.39370078740157483"/>
  <pageSetup paperSize="5" scale="70" orientation="landscape" r:id="rId1"/>
  <headerFooter alignWithMargins="0">
    <oddFooter>&amp;L&amp;A - &amp;F
&amp;D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1:P32"/>
  <sheetViews>
    <sheetView showGridLines="0" topLeftCell="C6" zoomScale="83" zoomScaleNormal="83" zoomScaleSheetLayoutView="80" workbookViewId="0">
      <selection activeCell="E9" sqref="E9"/>
    </sheetView>
  </sheetViews>
  <sheetFormatPr baseColWidth="10" defaultColWidth="11.44140625" defaultRowHeight="15.6" x14ac:dyDescent="0.3"/>
  <cols>
    <col min="1" max="1" width="0" style="11" hidden="1" customWidth="1"/>
    <col min="2" max="2" width="3.33203125" style="11" customWidth="1"/>
    <col min="3" max="3" width="74.33203125" style="11" customWidth="1"/>
    <col min="4" max="4" width="40.5546875" style="11" customWidth="1"/>
    <col min="5" max="5" width="21.109375" style="13" customWidth="1"/>
    <col min="6" max="7" width="3.33203125" style="11" customWidth="1"/>
    <col min="8" max="8" width="41.33203125" style="11" customWidth="1"/>
    <col min="9" max="9" width="3.88671875" style="11" customWidth="1"/>
    <col min="10" max="10" width="13.5546875" style="11" customWidth="1"/>
    <col min="11" max="11" width="46.33203125" style="11" customWidth="1"/>
    <col min="12" max="12" width="10.88671875" style="11" customWidth="1"/>
    <col min="13" max="16" width="13.88671875" style="12" customWidth="1"/>
    <col min="17" max="16384" width="11.44140625" style="11"/>
  </cols>
  <sheetData>
    <row r="1" spans="2:16" hidden="1" x14ac:dyDescent="0.3"/>
    <row r="2" spans="2:16" hidden="1" x14ac:dyDescent="0.3"/>
    <row r="3" spans="2:16" hidden="1" x14ac:dyDescent="0.3"/>
    <row r="4" spans="2:16" hidden="1" x14ac:dyDescent="0.3"/>
    <row r="5" spans="2:16" hidden="1" x14ac:dyDescent="0.3"/>
    <row r="6" spans="2:16" ht="10.199999999999999" customHeight="1" x14ac:dyDescent="0.3">
      <c r="B6" s="14"/>
      <c r="C6" s="10"/>
      <c r="D6" s="10"/>
      <c r="E6" s="15"/>
      <c r="F6" s="16"/>
      <c r="G6" s="10"/>
      <c r="H6" s="10"/>
      <c r="I6" s="16"/>
      <c r="M6" s="165">
        <f>E9+E10</f>
        <v>728869500</v>
      </c>
      <c r="N6" s="165">
        <f>(E9+E10)*10%</f>
        <v>72886950</v>
      </c>
      <c r="O6" s="165">
        <f>IF($M$6&gt;$M$7,$M$6-N6-950000000,0)</f>
        <v>0</v>
      </c>
      <c r="P6" s="165">
        <f>O6+N6</f>
        <v>72886950</v>
      </c>
    </row>
    <row r="7" spans="2:16" ht="15" customHeight="1" x14ac:dyDescent="0.3">
      <c r="B7" s="17"/>
      <c r="C7" s="164" t="s">
        <v>106</v>
      </c>
      <c r="D7" s="18"/>
      <c r="E7" s="19" t="s">
        <v>18</v>
      </c>
      <c r="F7" s="16"/>
      <c r="G7" s="10"/>
      <c r="H7" s="172" t="s">
        <v>19</v>
      </c>
      <c r="I7" s="16"/>
      <c r="M7" s="166">
        <f>+(M8*N7)/N8</f>
        <v>1055555555.5555556</v>
      </c>
      <c r="N7" s="167">
        <v>1</v>
      </c>
      <c r="P7" s="168">
        <f>+E9+E10-E19-E20</f>
        <v>728869500</v>
      </c>
    </row>
    <row r="8" spans="2:16" ht="9.6" customHeight="1" thickBot="1" x14ac:dyDescent="0.35">
      <c r="B8" s="20"/>
      <c r="C8" s="10"/>
      <c r="D8" s="10"/>
      <c r="E8" s="15"/>
      <c r="F8" s="16"/>
      <c r="G8" s="10"/>
      <c r="H8" s="10"/>
      <c r="I8" s="16"/>
      <c r="M8" s="169">
        <v>950000000</v>
      </c>
      <c r="N8" s="170">
        <v>0.9</v>
      </c>
      <c r="P8" s="168">
        <f>IF($P$7&gt;$M$8,$P$7-$M$8,0)</f>
        <v>0</v>
      </c>
    </row>
    <row r="9" spans="2:16" ht="42" customHeight="1" x14ac:dyDescent="0.25">
      <c r="B9" s="20"/>
      <c r="C9" s="399" t="s">
        <v>107</v>
      </c>
      <c r="D9" s="163" t="s">
        <v>17</v>
      </c>
      <c r="E9" s="21">
        <v>728869500</v>
      </c>
      <c r="F9" s="16"/>
      <c r="G9" s="10"/>
      <c r="H9" s="397" t="str">
        <f>IF($M$6&gt;=400000000,"Total of A. Equipment complies with the Minimum Amount.-","Total Amount of A. Equipment must be equal to or greater than $400.000.000.-")</f>
        <v>Total of A. Equipment complies with the Minimum Amount.-</v>
      </c>
      <c r="I9" s="22"/>
      <c r="K9" s="400" t="s">
        <v>111</v>
      </c>
      <c r="M9" s="171"/>
      <c r="N9" s="171"/>
    </row>
    <row r="10" spans="2:16" ht="42" customHeight="1" thickBot="1" x14ac:dyDescent="0.35">
      <c r="B10" s="20"/>
      <c r="C10" s="399"/>
      <c r="D10" s="251" t="s">
        <v>97</v>
      </c>
      <c r="E10" s="21">
        <v>0</v>
      </c>
      <c r="F10" s="16"/>
      <c r="G10" s="10"/>
      <c r="H10" s="398"/>
      <c r="I10" s="22"/>
      <c r="K10" s="401"/>
    </row>
    <row r="11" spans="2:16" ht="10.199999999999999" customHeight="1" x14ac:dyDescent="0.3">
      <c r="B11" s="14"/>
      <c r="C11" s="10"/>
      <c r="D11" s="10"/>
      <c r="E11" s="23"/>
      <c r="F11" s="16"/>
      <c r="G11" s="10"/>
      <c r="H11" s="10"/>
      <c r="I11" s="16"/>
    </row>
    <row r="12" spans="2:16" ht="10.199999999999999" customHeight="1" thickBot="1" x14ac:dyDescent="0.35">
      <c r="B12" s="24"/>
      <c r="C12" s="25"/>
      <c r="D12" s="25"/>
      <c r="E12" s="26"/>
      <c r="F12" s="27"/>
      <c r="G12" s="25"/>
      <c r="H12" s="25"/>
      <c r="I12" s="27"/>
    </row>
    <row r="13" spans="2:16" ht="10.199999999999999" customHeight="1" thickTop="1" x14ac:dyDescent="0.3">
      <c r="B13" s="28"/>
      <c r="C13" s="10"/>
      <c r="D13" s="10"/>
      <c r="E13" s="29"/>
      <c r="F13" s="16"/>
      <c r="G13" s="10"/>
      <c r="H13" s="10"/>
      <c r="I13" s="30"/>
    </row>
    <row r="14" spans="2:16" ht="16.95" customHeight="1" x14ac:dyDescent="0.25">
      <c r="B14" s="17"/>
      <c r="C14" s="164" t="s">
        <v>20</v>
      </c>
      <c r="D14" s="18"/>
      <c r="E14" s="19" t="s">
        <v>18</v>
      </c>
      <c r="F14" s="16"/>
      <c r="G14" s="10"/>
      <c r="H14" s="172"/>
      <c r="I14" s="16"/>
      <c r="M14" s="171"/>
      <c r="N14" s="171"/>
      <c r="O14" s="171"/>
      <c r="P14" s="171"/>
    </row>
    <row r="15" spans="2:16" ht="10.199999999999999" customHeight="1" x14ac:dyDescent="0.25">
      <c r="B15" s="20"/>
      <c r="C15" s="10"/>
      <c r="D15" s="10"/>
      <c r="E15" s="15"/>
      <c r="F15" s="16"/>
      <c r="G15" s="10"/>
      <c r="H15" s="10"/>
      <c r="I15" s="16"/>
      <c r="M15" s="171"/>
      <c r="N15" s="171"/>
      <c r="O15" s="171"/>
      <c r="P15" s="171"/>
    </row>
    <row r="16" spans="2:16" ht="42" customHeight="1" x14ac:dyDescent="0.25">
      <c r="B16" s="31"/>
      <c r="C16" s="402" t="s">
        <v>108</v>
      </c>
      <c r="D16" s="289" t="s">
        <v>121</v>
      </c>
      <c r="E16" s="32">
        <v>81600000</v>
      </c>
      <c r="F16" s="22"/>
      <c r="G16" s="33"/>
      <c r="H16" s="404" t="str">
        <f>IF($M$6=0," ",IF((SUM($E$16:$E$20)&gt;=$P$6)*AND($E$21=0)*AND($E$22=0)*AND($M$6&gt;=400000000),"Institutional Pecuniary Contribution complies with 10% of A. Equipment.-",IF(($M$6&gt;$M$8)*OR($P$8&gt;0),"¡¡¡ IMPORTANT !!!  Consider that FONDEQUIP contributes a maximum of $950.000.000 per project, therefore, the difference due to a higher cost in A. EQUIPMENT must be covered with Institutional Contributions.",IF($M$6&gt;=400000000,"You must enter at least 10% of the cost of A. Equipment in the corresponding sub-items (Personnel hiring for equipment operation and/or Training and/or Equipment/Accessories).-"," "))))</f>
        <v>Institutional Pecuniary Contribution complies with 10% of A. Equipment.-</v>
      </c>
      <c r="I16" s="22"/>
      <c r="K16" s="377" t="s">
        <v>110</v>
      </c>
      <c r="M16" s="171"/>
      <c r="N16" s="171"/>
      <c r="O16" s="171"/>
      <c r="P16" s="171"/>
    </row>
    <row r="17" spans="2:16" ht="42" customHeight="1" x14ac:dyDescent="0.25">
      <c r="B17" s="31"/>
      <c r="C17" s="403"/>
      <c r="D17" s="290" t="s">
        <v>109</v>
      </c>
      <c r="E17" s="315">
        <v>0</v>
      </c>
      <c r="F17" s="22"/>
      <c r="G17" s="33"/>
      <c r="H17" s="404"/>
      <c r="I17" s="22"/>
      <c r="K17" s="377"/>
      <c r="M17" s="171"/>
      <c r="N17" s="171"/>
      <c r="O17" s="171"/>
      <c r="P17" s="171"/>
    </row>
    <row r="18" spans="2:16" ht="42" customHeight="1" x14ac:dyDescent="0.25">
      <c r="B18" s="31"/>
      <c r="C18" s="403"/>
      <c r="D18" s="251" t="s">
        <v>98</v>
      </c>
      <c r="E18" s="32">
        <v>0</v>
      </c>
      <c r="F18" s="22"/>
      <c r="G18" s="33"/>
      <c r="H18" s="404"/>
      <c r="I18" s="22"/>
      <c r="K18" s="377"/>
      <c r="M18" s="171"/>
      <c r="N18" s="171"/>
      <c r="O18" s="171"/>
      <c r="P18" s="171"/>
    </row>
    <row r="19" spans="2:16" ht="42" customHeight="1" x14ac:dyDescent="0.25">
      <c r="B19" s="31"/>
      <c r="C19" s="403"/>
      <c r="D19" s="163" t="s">
        <v>17</v>
      </c>
      <c r="E19" s="32">
        <v>0</v>
      </c>
      <c r="F19" s="22"/>
      <c r="G19" s="33"/>
      <c r="H19" s="404"/>
      <c r="I19" s="22"/>
      <c r="K19" s="377"/>
      <c r="M19" s="171"/>
      <c r="N19" s="171"/>
      <c r="O19" s="171"/>
      <c r="P19" s="171"/>
    </row>
    <row r="20" spans="2:16" ht="42" customHeight="1" x14ac:dyDescent="0.25">
      <c r="B20" s="31"/>
      <c r="C20" s="403"/>
      <c r="D20" s="251" t="s">
        <v>97</v>
      </c>
      <c r="E20" s="32">
        <v>0</v>
      </c>
      <c r="F20" s="22"/>
      <c r="G20" s="33"/>
      <c r="H20" s="404"/>
      <c r="I20" s="22"/>
      <c r="K20" s="377"/>
      <c r="M20" s="171"/>
      <c r="N20" s="171"/>
      <c r="O20" s="171"/>
      <c r="P20" s="171"/>
    </row>
    <row r="21" spans="2:16" ht="15" customHeight="1" x14ac:dyDescent="0.25">
      <c r="B21" s="31"/>
      <c r="C21" s="10"/>
      <c r="D21" s="34" t="str">
        <f>IF($E$21&gt;0,"Balance for 10% Pecuniary Contribution","  ")</f>
        <v xml:space="preserve">  </v>
      </c>
      <c r="E21" s="35">
        <f>IF($E$22&gt;0,0,IF((SUM($E$16:$E$20)-E17)&lt;$N$6,($N$6-(SUM($E$16:$E$20)-E17)),0))</f>
        <v>0</v>
      </c>
      <c r="F21" s="16"/>
      <c r="G21" s="10"/>
      <c r="H21" s="10"/>
      <c r="I21" s="22"/>
      <c r="M21" s="171"/>
      <c r="N21" s="171"/>
      <c r="O21" s="171"/>
      <c r="P21" s="171"/>
    </row>
    <row r="22" spans="2:16" ht="18.600000000000001" customHeight="1" thickBot="1" x14ac:dyDescent="0.35">
      <c r="B22" s="36"/>
      <c r="C22" s="25"/>
      <c r="D22" s="37" t="str">
        <f>IF($E$22&gt;0,"Balance for A. EQUIPMENT"," ")</f>
        <v xml:space="preserve"> </v>
      </c>
      <c r="E22" s="38">
        <f>IF($P$8&gt;0,$P$8,0)</f>
        <v>0</v>
      </c>
      <c r="F22" s="27"/>
      <c r="G22" s="25"/>
      <c r="H22" s="25"/>
      <c r="I22" s="39"/>
    </row>
    <row r="23" spans="2:16" ht="10.199999999999999" customHeight="1" thickTop="1" x14ac:dyDescent="0.25">
      <c r="B23" s="28"/>
      <c r="C23" s="10"/>
      <c r="D23" s="10"/>
      <c r="E23" s="29"/>
      <c r="F23" s="16"/>
      <c r="G23" s="10"/>
      <c r="H23" s="10"/>
      <c r="I23" s="22"/>
      <c r="M23" s="171"/>
      <c r="N23" s="171"/>
      <c r="O23" s="171"/>
      <c r="P23" s="171"/>
    </row>
    <row r="24" spans="2:16" ht="16.95" customHeight="1" thickBot="1" x14ac:dyDescent="0.3">
      <c r="B24" s="17"/>
      <c r="C24" s="18" t="str">
        <f>IF(H16="Aporte Pecuniario Institucional cumple con el 10% del Ítem Equipamiento.-","APORTE FONDEQUIP A. EQUIPAMIENTO","")</f>
        <v/>
      </c>
      <c r="D24" s="18"/>
      <c r="E24" s="19"/>
      <c r="F24" s="16"/>
      <c r="G24" s="10"/>
      <c r="H24" s="172"/>
      <c r="I24" s="16"/>
      <c r="M24" s="171"/>
      <c r="N24" s="171"/>
      <c r="O24" s="171"/>
      <c r="P24" s="171"/>
    </row>
    <row r="25" spans="2:16" ht="65.25" customHeight="1" x14ac:dyDescent="0.3">
      <c r="B25" s="28"/>
      <c r="C25" s="40" t="str">
        <f>IF(E25&gt;0,"CONTRIBUTION REQUESTED TO FONDEQUIP FOR EQUIPMENT","")</f>
        <v>CONTRIBUTION REQUESTED TO FONDEQUIP FOR EQUIPMENT</v>
      </c>
      <c r="D25" s="41" t="str">
        <f>IF(E25&gt;0,"Main Equipment or Platform and/or Accesories","")</f>
        <v>Main Equipment or Platform and/or Accesories</v>
      </c>
      <c r="E25" s="42">
        <f>IF(AND(M6&gt;=400000000,H16="Institutional Pecuniary Contribution complies with 10% of A. Equipment.-"),E9+E10-E19-E20,0)</f>
        <v>728869500</v>
      </c>
      <c r="F25" s="16"/>
      <c r="G25" s="10"/>
      <c r="H25" s="43" t="str">
        <f>IF(OR(E25&lt;=0,(E9+E10)&lt;400000000)," ",IF($E$25&gt;950000000,"The requested contribution exceeds the maximum amount to be financed by FONDEQUIP, therefore, the Pecuniary Contribution must increase in A. EQUIPMENT.-",IF($H$16="Institutional Pecuniary Contribution complies with 10% of A. Equipment.-","Contribution Requested to FONDEQUIP is OK")))</f>
        <v>Contribution Requested to FONDEQUIP is OK</v>
      </c>
      <c r="I25" s="16"/>
      <c r="K25" s="44" t="s">
        <v>21</v>
      </c>
    </row>
    <row r="26" spans="2:16" ht="10.199999999999999" customHeight="1" x14ac:dyDescent="0.3">
      <c r="B26" s="28"/>
      <c r="C26" s="10"/>
      <c r="D26" s="10"/>
      <c r="E26" s="15"/>
      <c r="F26" s="16"/>
      <c r="G26" s="10"/>
      <c r="H26" s="10"/>
      <c r="I26" s="16"/>
    </row>
    <row r="27" spans="2:16" ht="16.2" hidden="1" thickBot="1" x14ac:dyDescent="0.35">
      <c r="B27" s="45"/>
      <c r="C27" s="46"/>
      <c r="D27" s="46"/>
      <c r="E27" s="47"/>
      <c r="F27" s="48"/>
      <c r="G27" s="46"/>
      <c r="H27" s="46"/>
      <c r="I27" s="48"/>
      <c r="J27" s="49"/>
    </row>
    <row r="29" spans="2:16" hidden="1" x14ac:dyDescent="0.3"/>
    <row r="30" spans="2:16" ht="23.25" customHeight="1" x14ac:dyDescent="0.3">
      <c r="C30" s="50"/>
      <c r="K30" s="396" t="str">
        <f>IF(H25="Aporte Solicitado a FONDEQUIP OK","Pase a la siguiente Hoja →    II.- Traslados, Inst. Operación","")</f>
        <v/>
      </c>
    </row>
    <row r="31" spans="2:16" ht="15" customHeight="1" x14ac:dyDescent="0.3">
      <c r="H31"/>
      <c r="K31" s="396"/>
    </row>
    <row r="32" spans="2:16" ht="15" customHeight="1" x14ac:dyDescent="0.3">
      <c r="K32" s="396"/>
    </row>
  </sheetData>
  <sheetProtection password="EE9B" sheet="1" selectLockedCells="1"/>
  <mergeCells count="7">
    <mergeCell ref="K30:K32"/>
    <mergeCell ref="H9:H10"/>
    <mergeCell ref="C9:C10"/>
    <mergeCell ref="K9:K10"/>
    <mergeCell ref="C16:C20"/>
    <mergeCell ref="H16:H20"/>
    <mergeCell ref="K16:K20"/>
  </mergeCells>
  <conditionalFormatting sqref="C25">
    <cfRule type="containsText" dxfId="101" priority="35" operator="containsText" text="FONDEQUIP">
      <formula>NOT(ISERROR(SEARCH("FONDEQUIP",C25)))</formula>
    </cfRule>
  </conditionalFormatting>
  <conditionalFormatting sqref="D21">
    <cfRule type="containsText" dxfId="100" priority="20" stopIfTrue="1" operator="containsText" text="10%">
      <formula>NOT(ISERROR(SEARCH("10%",D21)))</formula>
    </cfRule>
  </conditionalFormatting>
  <conditionalFormatting sqref="D22">
    <cfRule type="containsText" dxfId="99" priority="1" operator="containsText" text="A. EQUIPMENT">
      <formula>NOT(ISERROR(SEARCH("A. EQUIPMENT",D22)))</formula>
    </cfRule>
  </conditionalFormatting>
  <conditionalFormatting sqref="D25">
    <cfRule type="containsText" dxfId="98" priority="36" operator="containsText" text="&quot;&quot;">
      <formula>NOT(ISERROR(SEARCH("""""",D25)))</formula>
    </cfRule>
    <cfRule type="containsText" dxfId="97" priority="37" operator="containsText" text="Main">
      <formula>NOT(ISERROR(SEARCH("Main",D25)))</formula>
    </cfRule>
  </conditionalFormatting>
  <conditionalFormatting sqref="E21">
    <cfRule type="cellIs" dxfId="96" priority="7" stopIfTrue="1" operator="lessThan">
      <formula>0</formula>
    </cfRule>
    <cfRule type="cellIs" dxfId="95" priority="8" stopIfTrue="1" operator="equal">
      <formula>0</formula>
    </cfRule>
    <cfRule type="cellIs" dxfId="94" priority="9" stopIfTrue="1" operator="notEqual">
      <formula>0</formula>
    </cfRule>
  </conditionalFormatting>
  <conditionalFormatting sqref="E22">
    <cfRule type="cellIs" dxfId="93" priority="2" operator="greaterThan">
      <formula>0</formula>
    </cfRule>
  </conditionalFormatting>
  <conditionalFormatting sqref="E25">
    <cfRule type="cellIs" dxfId="92" priority="19" stopIfTrue="1" operator="equal">
      <formula>0</formula>
    </cfRule>
  </conditionalFormatting>
  <conditionalFormatting sqref="H9:H10">
    <cfRule type="containsText" dxfId="91" priority="17" stopIfTrue="1" operator="containsText" text="complies">
      <formula>NOT(ISERROR(SEARCH("complies",H9)))</formula>
    </cfRule>
    <cfRule type="containsText" dxfId="90" priority="18" stopIfTrue="1" operator="containsText" text="must be">
      <formula>NOT(ISERROR(SEARCH("must be",H9)))</formula>
    </cfRule>
  </conditionalFormatting>
  <conditionalFormatting sqref="H16:H17">
    <cfRule type="containsText" dxfId="89" priority="14" stopIfTrue="1" operator="containsText" text="Consider that FONDEQUIP">
      <formula>NOT(ISERROR(SEARCH("Consider that FONDEQUIP",H16)))</formula>
    </cfRule>
    <cfRule type="containsText" dxfId="88" priority="15" stopIfTrue="1" operator="containsText" text="You must enter">
      <formula>NOT(ISERROR(SEARCH("You must enter",H16)))</formula>
    </cfRule>
    <cfRule type="containsText" dxfId="87" priority="16" stopIfTrue="1" operator="containsText" text="complies">
      <formula>NOT(ISERROR(SEARCH("complies",H16)))</formula>
    </cfRule>
  </conditionalFormatting>
  <conditionalFormatting sqref="H25">
    <cfRule type="containsText" dxfId="86" priority="11" stopIfTrue="1" operator="containsText" text="The">
      <formula>NOT(ISERROR(SEARCH("The",H25)))</formula>
    </cfRule>
    <cfRule type="containsText" dxfId="85" priority="13" stopIfTrue="1" operator="containsText" text="OK">
      <formula>NOT(ISERROR(SEARCH("OK",H25)))</formula>
    </cfRule>
  </conditionalFormatting>
  <conditionalFormatting sqref="I21:I22">
    <cfRule type="expression" dxfId="84" priority="89" stopIfTrue="1">
      <formula>(#REF!+#REF!=0)</formula>
    </cfRule>
    <cfRule type="containsText" dxfId="83" priority="90" stopIfTrue="1" operator="containsText" text="Ingrese Su aporte">
      <formula>NOT(ISERROR(SEARCH("Ingrese Su aporte",I21)))</formula>
    </cfRule>
  </conditionalFormatting>
  <conditionalFormatting sqref="I23">
    <cfRule type="expression" dxfId="82" priority="99" stopIfTrue="1">
      <formula>(#REF!+#REF!=0)</formula>
    </cfRule>
    <cfRule type="containsText" dxfId="81" priority="100" stopIfTrue="1" operator="containsText" text="Ingrese Su aporte">
      <formula>NOT(ISERROR(SEARCH("Ingrese Su aporte",I23)))</formula>
    </cfRule>
  </conditionalFormatting>
  <conditionalFormatting sqref="K30:K32">
    <cfRule type="cellIs" dxfId="80" priority="23" stopIfTrue="1" operator="equal">
      <formula>"Aporte Solicitado a CONICYT OK"</formula>
    </cfRule>
  </conditionalFormatting>
  <dataValidations count="1">
    <dataValidation errorStyle="warning" operator="greaterThanOrEqual" allowBlank="1" showInputMessage="1" errorTitle="IMPORTANTE" error="Debe Ingresar, al menos, el 10% del costo del Item Equipamiento.-_x000a_" sqref="E16:E20" xr:uid="{00000000-0002-0000-0200-000000000000}"/>
  </dataValidations>
  <printOptions horizontalCentered="1"/>
  <pageMargins left="0" right="0" top="0.78740157480314965" bottom="0.78740157480314965" header="0" footer="0.59055118110236227"/>
  <pageSetup scale="75" orientation="landscape" r:id="rId1"/>
  <headerFooter alignWithMargins="0">
    <oddFooter>&amp;L&amp;A - &amp;F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T32"/>
  <sheetViews>
    <sheetView showGridLines="0" topLeftCell="C8" zoomScale="90" zoomScaleNormal="90" zoomScaleSheetLayoutView="87" workbookViewId="0">
      <selection activeCell="G12" sqref="G12"/>
    </sheetView>
  </sheetViews>
  <sheetFormatPr baseColWidth="10" defaultColWidth="11.44140625" defaultRowHeight="14.4" x14ac:dyDescent="0.3"/>
  <cols>
    <col min="1" max="1" width="1.6640625" style="160" hidden="1" customWidth="1"/>
    <col min="2" max="2" width="31.6640625" style="160" hidden="1" customWidth="1"/>
    <col min="3" max="3" width="3.33203125" style="160" customWidth="1"/>
    <col min="4" max="4" width="63.88671875" style="160" customWidth="1"/>
    <col min="5" max="7" width="26.5546875" style="160" customWidth="1"/>
    <col min="8" max="8" width="3.109375" style="160" customWidth="1"/>
    <col min="9" max="9" width="29.6640625" style="160" customWidth="1"/>
    <col min="10" max="10" width="3.6640625" style="160" customWidth="1"/>
    <col min="11" max="11" width="14.88671875" style="160" customWidth="1"/>
    <col min="12" max="15" width="11.44140625" style="160"/>
    <col min="16" max="21" width="0" style="160" hidden="1" customWidth="1"/>
    <col min="22" max="16384" width="11.44140625" style="160"/>
  </cols>
  <sheetData>
    <row r="1" spans="1:15" ht="39" hidden="1" customHeight="1" x14ac:dyDescent="0.3"/>
    <row r="2" spans="1:15" ht="24" customHeight="1" thickBot="1" x14ac:dyDescent="0.35">
      <c r="A2" s="173"/>
      <c r="B2" s="173"/>
      <c r="C2" s="174"/>
      <c r="D2" s="405" t="s">
        <v>112</v>
      </c>
      <c r="E2" s="405"/>
      <c r="F2" s="405"/>
      <c r="G2" s="405"/>
      <c r="H2" s="405"/>
      <c r="I2" s="406"/>
    </row>
    <row r="3" spans="1:15" ht="6.75" customHeight="1" thickTop="1" thickBot="1" x14ac:dyDescent="0.35">
      <c r="A3" s="173"/>
      <c r="B3" s="173"/>
      <c r="C3" s="175"/>
      <c r="D3" s="176"/>
      <c r="E3" s="176"/>
      <c r="F3" s="176"/>
      <c r="G3" s="176"/>
      <c r="H3" s="176"/>
      <c r="I3" s="177"/>
      <c r="J3" s="178"/>
    </row>
    <row r="4" spans="1:15" ht="9.75" hidden="1" customHeight="1" thickBot="1" x14ac:dyDescent="0.35">
      <c r="A4" s="173"/>
      <c r="B4" s="173"/>
      <c r="C4" s="179"/>
      <c r="D4" s="180"/>
      <c r="I4" s="181"/>
    </row>
    <row r="5" spans="1:15" ht="19.2" customHeight="1" thickTop="1" thickBot="1" x14ac:dyDescent="0.35">
      <c r="A5" s="173"/>
      <c r="B5" s="173"/>
      <c r="C5" s="182"/>
      <c r="D5" s="183"/>
      <c r="E5" s="419" t="s">
        <v>22</v>
      </c>
      <c r="F5" s="412" t="s">
        <v>23</v>
      </c>
      <c r="G5" s="413"/>
      <c r="H5" s="184"/>
      <c r="I5" s="185"/>
      <c r="K5" s="422" t="s">
        <v>24</v>
      </c>
      <c r="L5" s="423"/>
      <c r="M5" s="423"/>
      <c r="N5" s="423"/>
    </row>
    <row r="6" spans="1:15" ht="19.2" customHeight="1" thickTop="1" thickBot="1" x14ac:dyDescent="0.35">
      <c r="A6" s="173"/>
      <c r="B6" s="173"/>
      <c r="C6" s="182"/>
      <c r="D6" s="186"/>
      <c r="E6" s="420"/>
      <c r="F6" s="187" t="s">
        <v>25</v>
      </c>
      <c r="G6" s="188" t="s">
        <v>26</v>
      </c>
      <c r="H6" s="189"/>
      <c r="I6" s="185"/>
      <c r="K6" s="421" t="s">
        <v>100</v>
      </c>
      <c r="L6" s="421"/>
      <c r="M6" s="421"/>
      <c r="N6" s="421"/>
      <c r="O6" s="190"/>
    </row>
    <row r="7" spans="1:15" ht="31.95" customHeight="1" thickTop="1" thickBot="1" x14ac:dyDescent="0.35">
      <c r="A7" s="173"/>
      <c r="B7" s="173"/>
      <c r="C7" s="191"/>
      <c r="D7" s="192" t="s">
        <v>17</v>
      </c>
      <c r="E7" s="193">
        <f>+' I. EQUIPMENT'!E9-' I. EQUIPMENT'!E19</f>
        <v>728869500</v>
      </c>
      <c r="F7" s="193">
        <f>+' I. EQUIPMENT'!E19</f>
        <v>0</v>
      </c>
      <c r="G7" s="407" t="s">
        <v>27</v>
      </c>
      <c r="H7" s="189"/>
      <c r="I7" s="185"/>
      <c r="K7" s="421"/>
      <c r="L7" s="421"/>
      <c r="M7" s="421"/>
      <c r="N7" s="421"/>
      <c r="O7" s="190"/>
    </row>
    <row r="8" spans="1:15" ht="31.95" customHeight="1" thickTop="1" thickBot="1" x14ac:dyDescent="0.35">
      <c r="A8" s="173"/>
      <c r="B8" s="173"/>
      <c r="C8" s="191"/>
      <c r="D8" s="194" t="s">
        <v>97</v>
      </c>
      <c r="E8" s="195">
        <f>+' I. EQUIPMENT'!E10-' I. EQUIPMENT'!E20</f>
        <v>0</v>
      </c>
      <c r="F8" s="195">
        <f>+' I. EQUIPMENT'!E20</f>
        <v>0</v>
      </c>
      <c r="G8" s="408"/>
      <c r="H8" s="189"/>
      <c r="I8" s="185"/>
      <c r="K8" s="421"/>
      <c r="L8" s="421"/>
      <c r="M8" s="421"/>
      <c r="N8" s="421"/>
      <c r="O8" s="190"/>
    </row>
    <row r="9" spans="1:15" ht="31.95" customHeight="1" thickTop="1" x14ac:dyDescent="0.3">
      <c r="A9" s="173"/>
      <c r="B9" s="173"/>
      <c r="C9" s="414"/>
      <c r="D9" s="192" t="s">
        <v>28</v>
      </c>
      <c r="E9" s="196">
        <v>158573338</v>
      </c>
      <c r="F9" s="196">
        <v>0</v>
      </c>
      <c r="G9" s="409"/>
      <c r="H9" s="197"/>
      <c r="I9" s="185"/>
      <c r="K9" s="421" t="s">
        <v>99</v>
      </c>
      <c r="L9" s="421"/>
      <c r="M9" s="421"/>
      <c r="N9" s="421"/>
      <c r="O9" s="190"/>
    </row>
    <row r="10" spans="1:15" ht="31.95" customHeight="1" x14ac:dyDescent="0.3">
      <c r="A10" s="173"/>
      <c r="B10" s="173"/>
      <c r="C10" s="414"/>
      <c r="D10" s="194" t="s">
        <v>29</v>
      </c>
      <c r="E10" s="196">
        <v>39251090</v>
      </c>
      <c r="F10" s="196">
        <v>0</v>
      </c>
      <c r="G10" s="198">
        <v>15000000</v>
      </c>
      <c r="H10" s="197"/>
      <c r="I10" s="185"/>
      <c r="K10" s="421"/>
      <c r="L10" s="421"/>
      <c r="M10" s="421"/>
      <c r="N10" s="421"/>
    </row>
    <row r="11" spans="1:15" ht="31.95" customHeight="1" x14ac:dyDescent="0.3">
      <c r="A11" s="173"/>
      <c r="B11" s="173"/>
      <c r="C11" s="414"/>
      <c r="D11" s="192" t="s">
        <v>30</v>
      </c>
      <c r="E11" s="196">
        <v>12110000</v>
      </c>
      <c r="F11" s="196">
        <v>0</v>
      </c>
      <c r="G11" s="198">
        <f>+' DETAILS CONTRIBUTIONS'!F11</f>
        <v>0</v>
      </c>
      <c r="H11" s="197"/>
      <c r="I11" s="185"/>
      <c r="K11" s="421" t="s">
        <v>31</v>
      </c>
      <c r="L11" s="421"/>
      <c r="M11" s="421"/>
      <c r="N11" s="421"/>
    </row>
    <row r="12" spans="1:15" ht="31.95" customHeight="1" thickBot="1" x14ac:dyDescent="0.35">
      <c r="A12" s="173"/>
      <c r="B12" s="173"/>
      <c r="C12" s="414"/>
      <c r="D12" s="199" t="s">
        <v>32</v>
      </c>
      <c r="E12" s="200">
        <v>11196000</v>
      </c>
      <c r="F12" s="196">
        <v>75862980</v>
      </c>
      <c r="G12" s="198">
        <v>7604155</v>
      </c>
      <c r="H12" s="189"/>
      <c r="I12" s="201" t="str">
        <f>IF(E12+F12+G12=0,"This Sub-Item must contemplate Financing","")</f>
        <v/>
      </c>
      <c r="K12" s="421"/>
      <c r="L12" s="421"/>
      <c r="M12" s="421"/>
      <c r="N12" s="421"/>
    </row>
    <row r="13" spans="1:15" ht="15.75" customHeight="1" thickBot="1" x14ac:dyDescent="0.35">
      <c r="A13" s="173"/>
      <c r="B13" s="173"/>
      <c r="C13" s="182"/>
      <c r="D13" s="189"/>
      <c r="E13" s="202"/>
      <c r="F13" s="203"/>
      <c r="G13" s="202"/>
      <c r="H13" s="189"/>
      <c r="I13" s="185"/>
      <c r="K13" s="421" t="s">
        <v>101</v>
      </c>
      <c r="L13" s="421"/>
      <c r="M13" s="421"/>
      <c r="N13" s="421"/>
    </row>
    <row r="14" spans="1:15" ht="31.95" customHeight="1" x14ac:dyDescent="0.3">
      <c r="A14" s="173"/>
      <c r="B14" s="173"/>
      <c r="C14" s="415"/>
      <c r="D14" s="204" t="s">
        <v>98</v>
      </c>
      <c r="E14" s="410" t="s">
        <v>27</v>
      </c>
      <c r="F14" s="205">
        <f>+' I. EQUIPMENT'!E18</f>
        <v>0</v>
      </c>
      <c r="G14" s="198">
        <v>20676000</v>
      </c>
      <c r="H14" s="189"/>
      <c r="I14" s="185"/>
      <c r="J14" s="206"/>
      <c r="K14" s="421"/>
      <c r="L14" s="421"/>
      <c r="M14" s="421"/>
      <c r="N14" s="421"/>
    </row>
    <row r="15" spans="1:15" ht="31.95" customHeight="1" x14ac:dyDescent="0.3">
      <c r="A15" s="173"/>
      <c r="B15" s="173"/>
      <c r="C15" s="415"/>
      <c r="D15" s="291" t="s">
        <v>33</v>
      </c>
      <c r="E15" s="410"/>
      <c r="F15" s="207">
        <f>+' I. EQUIPMENT'!E16+' I. EQUIPMENT'!E17</f>
        <v>81600000</v>
      </c>
      <c r="G15" s="208">
        <v>132933768</v>
      </c>
      <c r="H15" s="189"/>
      <c r="I15" s="185"/>
      <c r="J15" s="206"/>
      <c r="K15" s="421"/>
      <c r="L15" s="421"/>
      <c r="M15" s="421"/>
      <c r="N15" s="421"/>
    </row>
    <row r="16" spans="1:15" ht="31.95" customHeight="1" thickBot="1" x14ac:dyDescent="0.35">
      <c r="A16" s="173"/>
      <c r="B16" s="173"/>
      <c r="C16" s="415"/>
      <c r="D16" s="209" t="s">
        <v>34</v>
      </c>
      <c r="E16" s="411"/>
      <c r="F16" s="210">
        <f>+' DETAILS CONTRIBUTIONS'!E15</f>
        <v>0</v>
      </c>
      <c r="G16" s="211">
        <v>45300000</v>
      </c>
      <c r="H16" s="189"/>
      <c r="I16" s="212"/>
      <c r="K16" s="421"/>
      <c r="L16" s="421"/>
      <c r="M16" s="421"/>
      <c r="N16" s="421"/>
    </row>
    <row r="17" spans="1:20" ht="15.75" customHeight="1" thickTop="1" x14ac:dyDescent="0.3">
      <c r="A17" s="173"/>
      <c r="B17" s="173"/>
      <c r="C17" s="182"/>
      <c r="D17" s="189"/>
      <c r="E17" s="213"/>
      <c r="F17" s="214"/>
      <c r="G17" s="213"/>
      <c r="H17" s="189"/>
      <c r="I17" s="185"/>
    </row>
    <row r="18" spans="1:20" ht="112.5" customHeight="1" x14ac:dyDescent="0.3">
      <c r="A18" s="173"/>
      <c r="B18" s="173"/>
      <c r="C18" s="182"/>
      <c r="D18" s="215" t="str">
        <f>IF(E23+F23+G23=0,"","CONTRIBUTION VERIFICATION")</f>
        <v>CONTRIBUTION VERIFICATION</v>
      </c>
      <c r="E18" s="216" t="str">
        <f>IF(OR(E23=0,(E7+E8)&lt;400000000)," ",IF(SUM(E9:E12)&gt;((E7+E8)*0.5),"Total B. Transfers and Installation cannot be greater than 50% of A. Equipment.-",IF(SUM(E7:E12)&lt;=950000000,"Contribution Requested to FONDEQUIP OK",IF(SUM(E7:E12)&gt;950000000,"Amount requested from FONDEQUIP exceeds the Maximum to be financed per Project",""))))</f>
        <v>Contribution Requested to FONDEQUIP OK</v>
      </c>
      <c r="F18" s="216" t="str">
        <f>IF($E$29=0,"",IF(F7+F8+F14+F15&gt;=$E$25*10%,"Pecuniary Contribution is OK","Pecuniary Contribution must be equivalent to at least 10% of A. Equipment.-"))</f>
        <v>Pecuniary Contribution is OK</v>
      </c>
      <c r="G18" s="217" t="str">
        <f>IF($E$29=0," ",IF(SUM(G10+G11+G12+G14+G15+G16+F7+F8+F9+F10+F11+F12+F14+F15+F16)&gt;=$E$25*50%,"Non-pecuniary contribution is OK",IF(SUM(G10+G11+G12+G14+G15+G16+F7+F8+F9+F10+F11+F12+F14+F15+F16)&lt;$E$25*50%,"Non-Pecuniary Contribution must be, at least, the equivalent of the percentage not financed with Pecuniary Contribution to achieve the minimum corresponding to 50% of A. Equipment.-")))</f>
        <v>Non-pecuniary contribution is OK</v>
      </c>
      <c r="H18" s="218"/>
      <c r="I18" s="212"/>
      <c r="P18" s="160">
        <f>IF(I12="Este Sub Item debe Contemplar Financiamiento",1,0)</f>
        <v>0</v>
      </c>
      <c r="Q18" s="160">
        <f>IF(E18="Aporte Solicitado a CONICYT OK",1,0)</f>
        <v>0</v>
      </c>
      <c r="R18" s="160">
        <f>IF(F18="Aporte Pecuniario Universidad OK",1,0)</f>
        <v>0</v>
      </c>
      <c r="S18" s="160">
        <f>IF(G18="Aporte No Pecuniario OK",1,0)</f>
        <v>0</v>
      </c>
      <c r="T18" s="160">
        <f>S18+R18+Q18+P18</f>
        <v>0</v>
      </c>
    </row>
    <row r="19" spans="1:20" ht="8.25" customHeight="1" thickBot="1" x14ac:dyDescent="0.35">
      <c r="A19" s="173"/>
      <c r="B19" s="173"/>
      <c r="C19" s="182"/>
      <c r="D19" s="219"/>
      <c r="E19" s="197"/>
      <c r="F19" s="189"/>
      <c r="G19" s="189"/>
      <c r="H19" s="189"/>
      <c r="I19" s="212"/>
    </row>
    <row r="20" spans="1:20" ht="39.75" customHeight="1" x14ac:dyDescent="0.3">
      <c r="A20" s="173"/>
      <c r="B20" s="173"/>
      <c r="C20" s="220"/>
      <c r="D20" s="416" t="s">
        <v>35</v>
      </c>
      <c r="E20" s="417"/>
      <c r="F20" s="417"/>
      <c r="G20" s="418"/>
      <c r="H20" s="221"/>
      <c r="I20" s="222"/>
    </row>
    <row r="22" spans="1:20" ht="12.75" customHeight="1" x14ac:dyDescent="0.3"/>
    <row r="23" spans="1:20" s="8" customFormat="1" ht="23.25" customHeight="1" x14ac:dyDescent="0.3">
      <c r="D23" s="277" t="s">
        <v>36</v>
      </c>
      <c r="E23" s="278">
        <f>SUM(E7:E16)</f>
        <v>949999928</v>
      </c>
      <c r="F23" s="279">
        <f>SUM(F7:F16)</f>
        <v>157462980</v>
      </c>
      <c r="G23" s="280">
        <f>SUM(G7:G16)</f>
        <v>221513923</v>
      </c>
    </row>
    <row r="24" spans="1:20" s="8" customFormat="1" ht="23.25" customHeight="1" x14ac:dyDescent="0.3">
      <c r="E24" s="281"/>
      <c r="F24" s="281"/>
      <c r="G24" s="281"/>
    </row>
    <row r="25" spans="1:20" s="8" customFormat="1" ht="23.25" customHeight="1" x14ac:dyDescent="0.3">
      <c r="D25" s="282" t="s">
        <v>37</v>
      </c>
      <c r="E25" s="280">
        <f>+' I. EQUIPMENT'!E9+' I. EQUIPMENT'!E10</f>
        <v>728869500</v>
      </c>
      <c r="F25" s="283" t="str">
        <f>IF(AND(E25&gt;0,E25&lt;50000000),"El Monto Mínimo debe ser $50.000.000.-"," ")</f>
        <v xml:space="preserve"> </v>
      </c>
      <c r="G25" s="281"/>
    </row>
    <row r="26" spans="1:20" s="8" customFormat="1" ht="23.25" customHeight="1" x14ac:dyDescent="0.3">
      <c r="D26" s="8" t="s">
        <v>38</v>
      </c>
      <c r="E26" s="281">
        <f>E25*0.5</f>
        <v>364434750</v>
      </c>
      <c r="F26" s="281"/>
      <c r="G26" s="281"/>
    </row>
    <row r="27" spans="1:20" s="8" customFormat="1" ht="26.25" customHeight="1" x14ac:dyDescent="0.3">
      <c r="D27" s="282" t="s">
        <v>39</v>
      </c>
      <c r="E27" s="280">
        <f>SUM(F23:G23)</f>
        <v>378976903</v>
      </c>
      <c r="F27" s="284">
        <f>+E27-E26</f>
        <v>14542153</v>
      </c>
      <c r="G27" s="285"/>
    </row>
    <row r="28" spans="1:20" s="8" customFormat="1" ht="26.25" customHeight="1" x14ac:dyDescent="0.3">
      <c r="E28" s="281"/>
      <c r="F28" s="281"/>
      <c r="G28" s="281"/>
    </row>
    <row r="29" spans="1:20" s="8" customFormat="1" ht="23.25" customHeight="1" x14ac:dyDescent="0.3">
      <c r="D29" s="282" t="s">
        <v>40</v>
      </c>
      <c r="E29" s="280">
        <f>+' I. EQUIPMENT'!E25</f>
        <v>728869500</v>
      </c>
      <c r="F29" s="286">
        <f>+E29*0.5</f>
        <v>364434750</v>
      </c>
      <c r="G29" s="281"/>
    </row>
    <row r="30" spans="1:20" s="8" customFormat="1" ht="23.25" customHeight="1" x14ac:dyDescent="0.3">
      <c r="D30" s="8" t="s">
        <v>41</v>
      </c>
      <c r="E30" s="287">
        <f>+IF($F$29&gt;$F$30,$F$30,$F$29)</f>
        <v>221130500</v>
      </c>
      <c r="F30" s="286">
        <f>950000000-E29</f>
        <v>221130500</v>
      </c>
      <c r="G30" s="281"/>
    </row>
    <row r="31" spans="1:20" s="8" customFormat="1" ht="23.25" customHeight="1" x14ac:dyDescent="0.3">
      <c r="D31" s="282" t="s">
        <v>42</v>
      </c>
      <c r="E31" s="280">
        <f>SUM($E$9:$E$12)</f>
        <v>221130428</v>
      </c>
      <c r="F31" s="284">
        <f>+E31-E30</f>
        <v>-72</v>
      </c>
      <c r="G31" s="281"/>
    </row>
    <row r="32" spans="1:20" s="8" customFormat="1" ht="27" customHeight="1" x14ac:dyDescent="0.3">
      <c r="D32" s="8" t="s">
        <v>43</v>
      </c>
      <c r="E32" s="288">
        <f>+IF(E29&gt;0,E31/E29,0)</f>
        <v>0.30338823067778253</v>
      </c>
    </row>
  </sheetData>
  <sheetProtection password="EE9B" sheet="1" selectLockedCells="1"/>
  <mergeCells count="13">
    <mergeCell ref="D20:G20"/>
    <mergeCell ref="E5:E6"/>
    <mergeCell ref="K6:N8"/>
    <mergeCell ref="K9:N10"/>
    <mergeCell ref="K11:N12"/>
    <mergeCell ref="K13:N16"/>
    <mergeCell ref="K5:N5"/>
    <mergeCell ref="D2:I2"/>
    <mergeCell ref="G7:G9"/>
    <mergeCell ref="E14:E16"/>
    <mergeCell ref="F5:G5"/>
    <mergeCell ref="C9:C12"/>
    <mergeCell ref="C14:C16"/>
  </mergeCells>
  <conditionalFormatting sqref="D18">
    <cfRule type="containsText" dxfId="79" priority="12" stopIfTrue="1" operator="containsText" text="VERIFICATION">
      <formula>NOT(ISERROR(SEARCH("VERIFICATION",D18)))</formula>
    </cfRule>
  </conditionalFormatting>
  <conditionalFormatting sqref="E18">
    <cfRule type="containsText" dxfId="78" priority="1" operator="containsText" text="cannot be">
      <formula>NOT(ISERROR(SEARCH("cannot be",E18)))</formula>
    </cfRule>
    <cfRule type="containsText" dxfId="77" priority="10" stopIfTrue="1" operator="containsText" text="exceeds">
      <formula>NOT(ISERROR(SEARCH("exceeds",E18)))</formula>
    </cfRule>
  </conditionalFormatting>
  <conditionalFormatting sqref="E25">
    <cfRule type="cellIs" dxfId="76" priority="3" operator="lessThan">
      <formula>50000000</formula>
    </cfRule>
  </conditionalFormatting>
  <conditionalFormatting sqref="E30">
    <cfRule type="cellIs" dxfId="75" priority="13" stopIfTrue="1" operator="lessThan">
      <formula>0</formula>
    </cfRule>
  </conditionalFormatting>
  <conditionalFormatting sqref="E32">
    <cfRule type="cellIs" dxfId="74" priority="22" stopIfTrue="1" operator="greaterThan">
      <formula>0.5</formula>
    </cfRule>
  </conditionalFormatting>
  <conditionalFormatting sqref="E18:G18">
    <cfRule type="containsText" dxfId="73" priority="6" stopIfTrue="1" operator="containsText" text="OK">
      <formula>NOT(ISERROR(SEARCH("OK",E18)))</formula>
    </cfRule>
  </conditionalFormatting>
  <conditionalFormatting sqref="F18">
    <cfRule type="containsText" dxfId="72" priority="8" stopIfTrue="1" operator="containsText" text="must be">
      <formula>NOT(ISERROR(SEARCH("must be",F18)))</formula>
    </cfRule>
  </conditionalFormatting>
  <conditionalFormatting sqref="F27">
    <cfRule type="cellIs" dxfId="71" priority="23" stopIfTrue="1" operator="lessThan">
      <formula>0</formula>
    </cfRule>
  </conditionalFormatting>
  <conditionalFormatting sqref="F31">
    <cfRule type="cellIs" dxfId="70" priority="2" stopIfTrue="1" operator="greaterThan">
      <formula>0</formula>
    </cfRule>
  </conditionalFormatting>
  <conditionalFormatting sqref="G18">
    <cfRule type="containsText" dxfId="69" priority="5" stopIfTrue="1" operator="containsText" text="must be">
      <formula>NOT(ISERROR(SEARCH("must be",G18)))</formula>
    </cfRule>
  </conditionalFormatting>
  <conditionalFormatting sqref="I12">
    <cfRule type="containsText" dxfId="68" priority="4" stopIfTrue="1" operator="containsText" text="This">
      <formula>NOT(ISERROR(SEARCH("This",I12)))</formula>
    </cfRule>
  </conditionalFormatting>
  <printOptions horizontalCentered="1"/>
  <pageMargins left="0" right="0" top="0.78740157480314965" bottom="0.78740157480314965" header="0" footer="0.59055118110236227"/>
  <pageSetup scale="75" orientation="landscape" r:id="rId1"/>
  <headerFooter alignWithMargins="0">
    <oddFooter>&amp;L&amp;A - &amp;F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B1:L23"/>
  <sheetViews>
    <sheetView showGridLines="0" tabSelected="1" topLeftCell="A6" zoomScale="80" zoomScaleNormal="80" workbookViewId="0">
      <selection activeCell="I15" sqref="I15"/>
    </sheetView>
  </sheetViews>
  <sheetFormatPr baseColWidth="10" defaultColWidth="11.44140625" defaultRowHeight="14.4" x14ac:dyDescent="0.3"/>
  <cols>
    <col min="1" max="1" width="4.88671875" style="11" customWidth="1"/>
    <col min="2" max="2" width="6.88671875" style="11" customWidth="1"/>
    <col min="3" max="3" width="5.109375" style="11" customWidth="1"/>
    <col min="4" max="4" width="18.88671875" style="11" customWidth="1"/>
    <col min="5" max="5" width="41.44140625" style="11" customWidth="1"/>
    <col min="6" max="7" width="30" style="11" customWidth="1"/>
    <col min="8" max="8" width="32.33203125" style="11" customWidth="1"/>
    <col min="9" max="9" width="30.88671875" style="11" customWidth="1"/>
    <col min="10" max="10" width="3.44140625" style="11" customWidth="1"/>
    <col min="11" max="11" width="12.6640625" style="11" customWidth="1"/>
    <col min="12" max="12" width="17.44140625" style="11" customWidth="1"/>
    <col min="13" max="13" width="20.44140625" style="11" customWidth="1"/>
    <col min="14" max="14" width="16.5546875" style="11" customWidth="1"/>
    <col min="15" max="15" width="9.44140625" style="11" customWidth="1"/>
    <col min="16" max="16384" width="11.44140625" style="11"/>
  </cols>
  <sheetData>
    <row r="1" spans="2:12" ht="28.2" customHeight="1" x14ac:dyDescent="0.3">
      <c r="B1" s="440" t="s">
        <v>44</v>
      </c>
      <c r="C1" s="441"/>
      <c r="D1" s="441"/>
      <c r="E1" s="441"/>
      <c r="F1" s="441"/>
      <c r="G1" s="441"/>
      <c r="H1" s="441"/>
      <c r="I1" s="442"/>
      <c r="J1" s="320"/>
    </row>
    <row r="2" spans="2:12" hidden="1" x14ac:dyDescent="0.3">
      <c r="B2" s="320"/>
      <c r="C2" s="425"/>
      <c r="D2" s="425"/>
      <c r="E2" s="425"/>
      <c r="F2" s="425"/>
      <c r="G2" s="425"/>
      <c r="H2" s="425"/>
      <c r="I2" s="425"/>
      <c r="J2" s="320"/>
    </row>
    <row r="3" spans="2:12" ht="9" customHeight="1" thickBot="1" x14ac:dyDescent="0.35">
      <c r="B3" s="320"/>
      <c r="C3" s="428"/>
      <c r="D3" s="429"/>
      <c r="E3" s="429"/>
      <c r="F3" s="429"/>
      <c r="G3" s="429"/>
      <c r="H3" s="429"/>
      <c r="I3" s="429"/>
      <c r="J3" s="320"/>
    </row>
    <row r="4" spans="2:12" ht="13.5" hidden="1" customHeight="1" thickBot="1" x14ac:dyDescent="0.35">
      <c r="B4" s="320"/>
      <c r="C4" s="320"/>
      <c r="D4" s="320"/>
      <c r="E4" s="320"/>
      <c r="F4" s="320"/>
      <c r="G4" s="320"/>
      <c r="H4" s="320"/>
      <c r="I4" s="321"/>
      <c r="J4" s="320"/>
    </row>
    <row r="5" spans="2:12" ht="28.2" customHeight="1" thickBot="1" x14ac:dyDescent="0.35">
      <c r="B5" s="443" t="s">
        <v>122</v>
      </c>
      <c r="C5" s="444"/>
      <c r="D5" s="444"/>
      <c r="E5" s="444"/>
      <c r="F5" s="431" t="s">
        <v>45</v>
      </c>
      <c r="G5" s="426" t="s">
        <v>46</v>
      </c>
      <c r="H5" s="426" t="s">
        <v>47</v>
      </c>
      <c r="I5" s="430"/>
      <c r="J5" s="322"/>
    </row>
    <row r="6" spans="2:12" ht="28.2" customHeight="1" thickBot="1" x14ac:dyDescent="0.35">
      <c r="B6" s="323" t="s">
        <v>48</v>
      </c>
      <c r="C6" s="436" t="s">
        <v>49</v>
      </c>
      <c r="D6" s="436"/>
      <c r="E6" s="324" t="s">
        <v>50</v>
      </c>
      <c r="F6" s="432"/>
      <c r="G6" s="427"/>
      <c r="H6" s="325" t="s">
        <v>51</v>
      </c>
      <c r="I6" s="333" t="s">
        <v>103</v>
      </c>
      <c r="J6" s="322"/>
    </row>
    <row r="7" spans="2:12" ht="37.200000000000003" customHeight="1" x14ac:dyDescent="0.3">
      <c r="B7" s="437" t="s">
        <v>52</v>
      </c>
      <c r="C7" s="433" t="s">
        <v>53</v>
      </c>
      <c r="D7" s="434" t="s">
        <v>52</v>
      </c>
      <c r="E7" s="326" t="s">
        <v>17</v>
      </c>
      <c r="F7" s="334">
        <f>G7+H7</f>
        <v>728869500</v>
      </c>
      <c r="G7" s="335">
        <f>+' II. TRANSFERS, INST. OPERATION'!E7</f>
        <v>728869500</v>
      </c>
      <c r="H7" s="335">
        <f>+' II. TRANSFERS, INST. OPERATION'!F7</f>
        <v>0</v>
      </c>
      <c r="I7" s="336"/>
      <c r="J7" s="322"/>
      <c r="L7" s="327"/>
    </row>
    <row r="8" spans="2:12" ht="37.200000000000003" customHeight="1" x14ac:dyDescent="0.3">
      <c r="B8" s="438"/>
      <c r="C8" s="386"/>
      <c r="D8" s="435"/>
      <c r="E8" s="328" t="s">
        <v>97</v>
      </c>
      <c r="F8" s="337">
        <f>G8+H8</f>
        <v>0</v>
      </c>
      <c r="G8" s="338">
        <f>+' II. TRANSFERS, INST. OPERATION'!E8</f>
        <v>0</v>
      </c>
      <c r="H8" s="338">
        <f>+' II. TRANSFERS, INST. OPERATION'!F8</f>
        <v>0</v>
      </c>
      <c r="I8" s="339"/>
      <c r="J8" s="322"/>
      <c r="L8" s="327"/>
    </row>
    <row r="9" spans="2:12" ht="37.200000000000003" customHeight="1" x14ac:dyDescent="0.3">
      <c r="B9" s="438"/>
      <c r="C9" s="386" t="s">
        <v>102</v>
      </c>
      <c r="D9" s="435" t="s">
        <v>55</v>
      </c>
      <c r="E9" s="328" t="s">
        <v>28</v>
      </c>
      <c r="F9" s="337">
        <f>G9+H9</f>
        <v>158573338</v>
      </c>
      <c r="G9" s="338">
        <f>+' II. TRANSFERS, INST. OPERATION'!E9</f>
        <v>158573338</v>
      </c>
      <c r="H9" s="338">
        <f>+' II. TRANSFERS, INST. OPERATION'!F9</f>
        <v>0</v>
      </c>
      <c r="I9" s="339"/>
      <c r="J9" s="322"/>
      <c r="L9" s="329"/>
    </row>
    <row r="10" spans="2:12" ht="37.200000000000003" customHeight="1" x14ac:dyDescent="0.3">
      <c r="B10" s="438"/>
      <c r="C10" s="386"/>
      <c r="D10" s="435"/>
      <c r="E10" s="328" t="s">
        <v>29</v>
      </c>
      <c r="F10" s="337">
        <f>G10+H10+I10</f>
        <v>54251090</v>
      </c>
      <c r="G10" s="338">
        <f>+' II. TRANSFERS, INST. OPERATION'!E10</f>
        <v>39251090</v>
      </c>
      <c r="H10" s="338">
        <f>+' II. TRANSFERS, INST. OPERATION'!F10</f>
        <v>0</v>
      </c>
      <c r="I10" s="340">
        <f>+' II. TRANSFERS, INST. OPERATION'!G10</f>
        <v>15000000</v>
      </c>
      <c r="J10" s="322"/>
    </row>
    <row r="11" spans="2:12" ht="37.200000000000003" customHeight="1" x14ac:dyDescent="0.3">
      <c r="B11" s="438"/>
      <c r="C11" s="386"/>
      <c r="D11" s="435"/>
      <c r="E11" s="328" t="s">
        <v>30</v>
      </c>
      <c r="F11" s="337">
        <f>+G11+H11+I11</f>
        <v>12110000</v>
      </c>
      <c r="G11" s="338">
        <f>+' II. TRANSFERS, INST. OPERATION'!E11</f>
        <v>12110000</v>
      </c>
      <c r="H11" s="338">
        <f>+' II. TRANSFERS, INST. OPERATION'!F11</f>
        <v>0</v>
      </c>
      <c r="I11" s="340">
        <f>+' II. TRANSFERS, INST. OPERATION'!G11</f>
        <v>0</v>
      </c>
      <c r="J11" s="322"/>
      <c r="K11" s="424" t="str">
        <f>IF(G11="","No puede tener celdas vacías",IF(G12="","No puede tener celdas vacías",IF(H11="","No puede tener celdas vacías",IF(H12="","No puede tener celdas vacías",IF(I10="","No puede tener celdas vacías",IF(I11="","No puede tener celdas vacías",IF(I12="","No puede tener celdas vacías","")))))))</f>
        <v/>
      </c>
      <c r="L11" s="424"/>
    </row>
    <row r="12" spans="2:12" ht="37.200000000000003" customHeight="1" x14ac:dyDescent="0.3">
      <c r="B12" s="438"/>
      <c r="C12" s="386"/>
      <c r="D12" s="435"/>
      <c r="E12" s="328" t="s">
        <v>32</v>
      </c>
      <c r="F12" s="341">
        <f>IF(SUM(G12+H12+I12)=0,"This Sub-Item must contemplate Financing",SUM(G12:I12))</f>
        <v>94663135</v>
      </c>
      <c r="G12" s="338">
        <f>+' II. TRANSFERS, INST. OPERATION'!E12</f>
        <v>11196000</v>
      </c>
      <c r="H12" s="338">
        <f>+' II. TRANSFERS, INST. OPERATION'!F12</f>
        <v>75862980</v>
      </c>
      <c r="I12" s="340">
        <f>+' II. TRANSFERS, INST. OPERATION'!G12</f>
        <v>7604155</v>
      </c>
      <c r="J12" s="322"/>
      <c r="K12" s="424"/>
      <c r="L12" s="424"/>
    </row>
    <row r="13" spans="2:12" ht="37.200000000000003" customHeight="1" x14ac:dyDescent="0.3">
      <c r="B13" s="438" t="s">
        <v>113</v>
      </c>
      <c r="C13" s="386" t="s">
        <v>56</v>
      </c>
      <c r="D13" s="435" t="s">
        <v>57</v>
      </c>
      <c r="E13" s="328" t="s">
        <v>98</v>
      </c>
      <c r="F13" s="342">
        <f>H13+I13</f>
        <v>20676000</v>
      </c>
      <c r="G13" s="343"/>
      <c r="H13" s="338">
        <f>+' II. TRANSFERS, INST. OPERATION'!F14</f>
        <v>0</v>
      </c>
      <c r="I13" s="340">
        <f>+' II. TRANSFERS, INST. OPERATION'!G14</f>
        <v>20676000</v>
      </c>
      <c r="J13" s="322"/>
      <c r="K13" s="424" t="str">
        <f>IF(H13="","No puede tener celdas vacías",IF(H15="","No puede tener celdas vacías",IF(I13="","No puede tener celdas vacías",IF(I15="","No puede tener celdas vacías",""))))</f>
        <v/>
      </c>
      <c r="L13" s="424"/>
    </row>
    <row r="14" spans="2:12" ht="37.200000000000003" customHeight="1" x14ac:dyDescent="0.3">
      <c r="B14" s="438"/>
      <c r="C14" s="386"/>
      <c r="D14" s="435"/>
      <c r="E14" s="328" t="s">
        <v>33</v>
      </c>
      <c r="F14" s="342">
        <f>H14+I14</f>
        <v>214533768</v>
      </c>
      <c r="G14" s="343"/>
      <c r="H14" s="338">
        <f>+' II. TRANSFERS, INST. OPERATION'!F15</f>
        <v>81600000</v>
      </c>
      <c r="I14" s="340">
        <f>+' II. TRANSFERS, INST. OPERATION'!G15</f>
        <v>132933768</v>
      </c>
      <c r="J14" s="322"/>
      <c r="K14" s="424"/>
      <c r="L14" s="424"/>
    </row>
    <row r="15" spans="2:12" ht="37.200000000000003" customHeight="1" thickBot="1" x14ac:dyDescent="0.35">
      <c r="B15" s="439"/>
      <c r="C15" s="427"/>
      <c r="D15" s="448"/>
      <c r="E15" s="330" t="s">
        <v>34</v>
      </c>
      <c r="F15" s="344">
        <f>+H15+I15</f>
        <v>45300000</v>
      </c>
      <c r="G15" s="345"/>
      <c r="H15" s="338">
        <f>+' II. TRANSFERS, INST. OPERATION'!F16</f>
        <v>0</v>
      </c>
      <c r="I15" s="340">
        <f>+' II. TRANSFERS, INST. OPERATION'!G16</f>
        <v>45300000</v>
      </c>
      <c r="J15" s="322"/>
      <c r="K15" s="424"/>
      <c r="L15" s="424"/>
    </row>
    <row r="16" spans="2:12" ht="114.6" customHeight="1" thickBot="1" x14ac:dyDescent="0.35">
      <c r="B16" s="445" t="s">
        <v>58</v>
      </c>
      <c r="C16" s="446"/>
      <c r="D16" s="447"/>
      <c r="E16" s="316" t="s">
        <v>59</v>
      </c>
      <c r="F16" s="317">
        <f>IF(SUM(G7:G8)&lt;400000000,"The Minimum Amount of the Equipment item must be $400.000.000.-",SUM(F7:F15))</f>
        <v>1328976831</v>
      </c>
      <c r="G16" s="318">
        <f>IF(SUM(G7:G15)&gt;950000000,"Amount Requested from FONDEQUIP cannot be greater than $950.000.000 (maximum to be financed per Project).-",IF(SUM(G9:G12)&gt;(SUM(G7:G8)*0.5),"Total B. Transfers and Installation cannot be greater than 50% of A. Equipment.- ",SUM(G7:G15)))</f>
        <v>949999928</v>
      </c>
      <c r="H16" s="318">
        <f>IF(' II. TRANSFERS, INST. OPERATION'!E29=0,"Pecuniary contribution must be at least 10% of A. Equipment in the corresponding sub-items (Personnel Hiring for equipment operation and/or Training and/or Equipment/Accessories).-",SUM(H7:H15))</f>
        <v>157462980</v>
      </c>
      <c r="I16" s="319">
        <f>IF(SUM(SUM(I10:I15)+SUM(H7:H15))&lt;(F7+F8)*50%,"Non-Pecuniary Contribution must be, at least, the equivalent of the percentage not financed with Pecuniary Contribution to achieve the minimum corresponding to 50% of A. Equipment.-",SUM(I7:I15))</f>
        <v>221513923</v>
      </c>
      <c r="J16" s="322"/>
    </row>
    <row r="17" spans="2:10" x14ac:dyDescent="0.3">
      <c r="B17" s="320"/>
      <c r="C17" s="320"/>
      <c r="D17" s="320"/>
      <c r="E17" s="331"/>
      <c r="F17" s="320"/>
      <c r="G17" s="332"/>
      <c r="H17" s="332"/>
      <c r="I17" s="320"/>
      <c r="J17" s="320"/>
    </row>
    <row r="23" spans="2:10" x14ac:dyDescent="0.3">
      <c r="G23"/>
    </row>
  </sheetData>
  <sheetProtection password="EE9B" sheet="1" selectLockedCells="1"/>
  <mergeCells count="19">
    <mergeCell ref="B7:B12"/>
    <mergeCell ref="B13:B15"/>
    <mergeCell ref="B1:I1"/>
    <mergeCell ref="B5:E5"/>
    <mergeCell ref="B16:D16"/>
    <mergeCell ref="D13:D15"/>
    <mergeCell ref="C9:C12"/>
    <mergeCell ref="D9:D12"/>
    <mergeCell ref="K11:L12"/>
    <mergeCell ref="K13:L15"/>
    <mergeCell ref="C2:I2"/>
    <mergeCell ref="G5:G6"/>
    <mergeCell ref="C13:C15"/>
    <mergeCell ref="C3:I3"/>
    <mergeCell ref="H5:I5"/>
    <mergeCell ref="F5:F6"/>
    <mergeCell ref="C7:C8"/>
    <mergeCell ref="D7:D8"/>
    <mergeCell ref="C6:D6"/>
  </mergeCells>
  <conditionalFormatting sqref="F12">
    <cfRule type="containsText" dxfId="67" priority="1" stopIfTrue="1" operator="containsText" text="This">
      <formula>NOT(ISERROR(SEARCH("This",F12)))</formula>
    </cfRule>
  </conditionalFormatting>
  <conditionalFormatting sqref="F16">
    <cfRule type="containsText" dxfId="66" priority="5" stopIfTrue="1" operator="containsText" text="Amount">
      <formula>NOT(ISERROR(SEARCH("Amount",F16)))</formula>
    </cfRule>
  </conditionalFormatting>
  <conditionalFormatting sqref="G16">
    <cfRule type="cellIs" dxfId="65" priority="4" stopIfTrue="1" operator="greaterThan">
      <formula>950000000</formula>
    </cfRule>
  </conditionalFormatting>
  <conditionalFormatting sqref="H16">
    <cfRule type="containsText" dxfId="64" priority="3" stopIfTrue="1" operator="containsText" text="must be">
      <formula>NOT(ISERROR(SEARCH("must be",H16)))</formula>
    </cfRule>
  </conditionalFormatting>
  <conditionalFormatting sqref="I16">
    <cfRule type="containsText" dxfId="63" priority="2" stopIfTrue="1" operator="containsText" text="Non-Pecuniary">
      <formula>NOT(ISERROR(SEARCH("Non-Pecuniary",I16)))</formula>
    </cfRule>
  </conditionalFormatting>
  <conditionalFormatting sqref="K11">
    <cfRule type="containsText" dxfId="62" priority="13" stopIfTrue="1" operator="containsText" text="Monto Item Equipamiento OK">
      <formula>NOT(ISERROR(SEARCH("Monto Item Equipamiento OK",K11)))</formula>
    </cfRule>
    <cfRule type="containsText" dxfId="61" priority="14" operator="containsText" text="$50.000.000">
      <formula>NOT(ISERROR(SEARCH("$50.000.000",K11)))</formula>
    </cfRule>
    <cfRule type="containsText" dxfId="60" priority="15" operator="containsText" text="Excede">
      <formula>NOT(ISERROR(SEARCH("Excede",K11)))</formula>
    </cfRule>
    <cfRule type="containsText" dxfId="59" priority="16" operator="containsText" text="M$50.000">
      <formula>NOT(ISERROR(SEARCH("M$50.000",K11)))</formula>
    </cfRule>
  </conditionalFormatting>
  <conditionalFormatting sqref="K13:K14">
    <cfRule type="containsText" dxfId="58" priority="17" operator="containsText" text="$50.000.000">
      <formula>NOT(ISERROR(SEARCH("$50.000.000",K13)))</formula>
    </cfRule>
    <cfRule type="containsText" dxfId="57" priority="18" operator="containsText" text="Excede">
      <formula>NOT(ISERROR(SEARCH("Excede",K13)))</formula>
    </cfRule>
    <cfRule type="containsText" dxfId="56" priority="19" operator="containsText" text="M$50.000">
      <formula>NOT(ISERROR(SEARCH("M$50.000",K13)))</formula>
    </cfRule>
    <cfRule type="containsText" dxfId="55" priority="20" stopIfTrue="1" operator="containsText" text="Monto Item Equipamiento OK">
      <formula>NOT(ISERROR(SEARCH("Monto Item Equipamiento OK",K13)))</formula>
    </cfRule>
  </conditionalFormatting>
  <conditionalFormatting sqref="K11:L12">
    <cfRule type="containsText" dxfId="54" priority="11" stopIfTrue="1" operator="containsText" text="No puede tener">
      <formula>NOT(ISERROR(SEARCH("No puede tener",K11)))</formula>
    </cfRule>
  </conditionalFormatting>
  <conditionalFormatting sqref="K13:L15">
    <cfRule type="containsText" dxfId="53" priority="10" stopIfTrue="1" operator="containsText" text="No puede tener">
      <formula>NOT(ISERROR(SEARCH("No puede tener",K13)))</formula>
    </cfRule>
  </conditionalFormatting>
  <dataValidations xWindow="766" yWindow="436" count="3">
    <dataValidation type="custom" allowBlank="1" showInputMessage="1" showErrorMessage="1" errorTitle="Error" error="La suma de este Item B.TRASLADOS E INSTALACION a financiar por CONICYT, no puede ser Mayor al total del Item A. EQUIPAMIENTO" sqref="G7:G8" xr:uid="{00000000-0002-0000-0400-000000000000}">
      <formula1>SUM(G7:G10)&lt;=(F5+F6)</formula1>
    </dataValidation>
    <dataValidation operator="greaterThanOrEqual" allowBlank="1" showInputMessage="1" sqref="H7:H15" xr:uid="{00000000-0002-0000-0400-000001000000}"/>
    <dataValidation allowBlank="1" showInputMessage="1" showErrorMessage="1" errorTitle="Error" error="La suma de este Item B.TRASLADOS E INSTALACION a financiar por CONICYT, no puede ser Mayor al total del Item A. EQUIPAMIENTO" sqref="G9:G12" xr:uid="{00000000-0002-0000-0400-000002000000}"/>
  </dataValidations>
  <printOptions horizontalCentered="1"/>
  <pageMargins left="0" right="0" top="0.78740157480314965" bottom="0.78740157480314965" header="0" footer="0.59055118110236227"/>
  <pageSetup paperSize="119" scale="70" orientation="landscape" r:id="rId1"/>
  <headerFooter alignWithMargins="0">
    <oddFooter>&amp;L&amp;A - &amp;F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7"/>
  <sheetViews>
    <sheetView topLeftCell="A6" zoomScale="90" zoomScaleNormal="90" workbookViewId="0">
      <selection activeCell="I10" sqref="I10"/>
    </sheetView>
  </sheetViews>
  <sheetFormatPr baseColWidth="10" defaultColWidth="11.44140625" defaultRowHeight="13.8" x14ac:dyDescent="0.3"/>
  <cols>
    <col min="1" max="1" width="2" style="8" customWidth="1"/>
    <col min="2" max="2" width="2.6640625" style="8" customWidth="1"/>
    <col min="3" max="3" width="11.44140625" style="8" customWidth="1"/>
    <col min="4" max="4" width="11.44140625" style="8"/>
    <col min="5" max="5" width="6.5546875" style="8" customWidth="1"/>
    <col min="6" max="6" width="1.5546875" style="8" customWidth="1"/>
    <col min="7" max="7" width="12.109375" style="8" hidden="1" customWidth="1"/>
    <col min="8" max="8" width="17.6640625" style="8" customWidth="1"/>
    <col min="9" max="9" width="146.44140625" style="8" customWidth="1"/>
    <col min="10" max="10" width="2.88671875" style="8" customWidth="1"/>
    <col min="11" max="16384" width="11.44140625" style="8"/>
  </cols>
  <sheetData>
    <row r="1" spans="1:20" s="11" customFormat="1" ht="22.95" customHeight="1" x14ac:dyDescent="0.3">
      <c r="A1" s="10"/>
      <c r="B1" s="10"/>
      <c r="C1" s="377" t="s">
        <v>60</v>
      </c>
      <c r="D1" s="377"/>
      <c r="E1" s="377"/>
      <c r="F1" s="377"/>
      <c r="G1" s="377"/>
      <c r="H1" s="377"/>
      <c r="I1" s="377"/>
      <c r="J1" s="273"/>
      <c r="K1" s="274"/>
      <c r="L1" s="274"/>
      <c r="M1" s="274"/>
      <c r="N1" s="274"/>
      <c r="O1" s="274"/>
      <c r="P1" s="274"/>
      <c r="Q1" s="274"/>
      <c r="R1" s="275"/>
      <c r="S1" s="275"/>
      <c r="T1" s="275"/>
    </row>
    <row r="2" spans="1:20" ht="24" customHeight="1" x14ac:dyDescent="0.3">
      <c r="A2" s="143"/>
      <c r="B2" s="264"/>
      <c r="C2" s="454" t="s">
        <v>61</v>
      </c>
      <c r="D2" s="454"/>
      <c r="E2" s="454"/>
      <c r="F2" s="454"/>
      <c r="G2" s="454"/>
      <c r="H2" s="265" t="s">
        <v>45</v>
      </c>
      <c r="I2" s="349" t="s">
        <v>62</v>
      </c>
      <c r="J2" s="143"/>
    </row>
    <row r="3" spans="1:20" ht="105.6" customHeight="1" x14ac:dyDescent="0.3">
      <c r="A3" s="143"/>
      <c r="B3" s="452" t="s">
        <v>52</v>
      </c>
      <c r="C3" s="453" t="str">
        <f>+' III. FINAL BUDGET'!E9</f>
        <v>B.1. Transfers, Transfer Insurance, Customs Clearance and Equipment VAT</v>
      </c>
      <c r="D3" s="453"/>
      <c r="E3" s="453"/>
      <c r="F3" s="453"/>
      <c r="G3" s="453"/>
      <c r="H3" s="266">
        <f>+' III. FINAL BUDGET'!F9</f>
        <v>158573338</v>
      </c>
      <c r="I3" s="276" t="s">
        <v>154</v>
      </c>
      <c r="J3" s="263"/>
      <c r="K3" s="9"/>
      <c r="L3" s="9"/>
      <c r="M3" s="9"/>
      <c r="N3" s="9"/>
      <c r="O3" s="9"/>
      <c r="P3" s="9"/>
      <c r="Q3" s="9"/>
      <c r="R3" s="6"/>
      <c r="S3" s="6"/>
      <c r="T3" s="6"/>
    </row>
    <row r="4" spans="1:20" ht="87.6" customHeight="1" x14ac:dyDescent="0.3">
      <c r="A4" s="143"/>
      <c r="B4" s="452"/>
      <c r="C4" s="453" t="str">
        <f>+' III. FINAL BUDGET'!E10</f>
        <v>B.2. Adequacy Space for Equipment</v>
      </c>
      <c r="D4" s="453"/>
      <c r="E4" s="453"/>
      <c r="F4" s="453"/>
      <c r="G4" s="453"/>
      <c r="H4" s="266">
        <f>+' III. FINAL BUDGET'!F10</f>
        <v>54251090</v>
      </c>
      <c r="I4" s="276" t="s">
        <v>156</v>
      </c>
      <c r="J4" s="263"/>
      <c r="K4" s="9"/>
      <c r="L4" s="9"/>
      <c r="M4" s="9"/>
      <c r="N4" s="9"/>
      <c r="O4" s="9"/>
      <c r="P4" s="9"/>
      <c r="Q4" s="9"/>
      <c r="R4" s="6"/>
      <c r="S4" s="6"/>
      <c r="T4" s="6"/>
    </row>
    <row r="5" spans="1:20" ht="85.2" customHeight="1" x14ac:dyDescent="0.3">
      <c r="A5" s="143"/>
      <c r="B5" s="452"/>
      <c r="C5" s="453" t="str">
        <f>+' III. FINAL BUDGET'!E11</f>
        <v>B.3. Equipment Installation and Commissioning</v>
      </c>
      <c r="D5" s="453"/>
      <c r="E5" s="453"/>
      <c r="F5" s="453"/>
      <c r="G5" s="453"/>
      <c r="H5" s="266">
        <f>+' III. FINAL BUDGET'!F11</f>
        <v>12110000</v>
      </c>
      <c r="I5" s="276" t="s">
        <v>155</v>
      </c>
      <c r="J5" s="263"/>
      <c r="K5" s="9"/>
      <c r="L5" s="9"/>
      <c r="M5" s="9"/>
      <c r="N5" s="9"/>
      <c r="O5" s="9"/>
      <c r="P5" s="9"/>
      <c r="Q5" s="9"/>
      <c r="R5" s="6"/>
      <c r="S5" s="6"/>
      <c r="T5" s="6"/>
    </row>
    <row r="6" spans="1:20" ht="85.2" customHeight="1" x14ac:dyDescent="0.3">
      <c r="A6" s="143"/>
      <c r="B6" s="452"/>
      <c r="C6" s="453" t="str">
        <f>+' III. FINAL BUDGET'!E12</f>
        <v>B.4. Equipment Maintenance, Warranties and Insurance</v>
      </c>
      <c r="D6" s="453"/>
      <c r="E6" s="453"/>
      <c r="F6" s="453"/>
      <c r="G6" s="453"/>
      <c r="H6" s="266">
        <f>+' III. FINAL BUDGET'!F12</f>
        <v>94663135</v>
      </c>
      <c r="I6" s="276" t="s">
        <v>158</v>
      </c>
      <c r="J6" s="263"/>
      <c r="K6" s="9"/>
      <c r="L6" s="9"/>
      <c r="M6" s="9"/>
      <c r="N6" s="9"/>
      <c r="O6" s="9"/>
      <c r="P6" s="9"/>
      <c r="Q6" s="9"/>
      <c r="R6" s="6"/>
      <c r="S6" s="6"/>
      <c r="T6" s="6"/>
    </row>
    <row r="7" spans="1:20" ht="6.75" customHeight="1" x14ac:dyDescent="0.3">
      <c r="A7" s="143"/>
      <c r="B7" s="267"/>
      <c r="C7" s="449"/>
      <c r="D7" s="450"/>
      <c r="E7" s="450"/>
      <c r="F7" s="450"/>
      <c r="G7" s="451"/>
      <c r="H7" s="268"/>
      <c r="I7" s="269"/>
      <c r="J7" s="140"/>
      <c r="K7" s="6"/>
      <c r="L7" s="6"/>
      <c r="M7" s="6"/>
      <c r="N7" s="6"/>
      <c r="O7" s="6"/>
      <c r="P7" s="6"/>
      <c r="Q7" s="6"/>
      <c r="R7" s="6"/>
      <c r="S7" s="6"/>
      <c r="T7" s="6"/>
    </row>
    <row r="8" spans="1:20" ht="101.4" customHeight="1" x14ac:dyDescent="0.3">
      <c r="A8" s="143"/>
      <c r="B8" s="452" t="s">
        <v>113</v>
      </c>
      <c r="C8" s="453" t="str">
        <f>+' III. FINAL BUDGET'!E13</f>
        <v>C.1. Training</v>
      </c>
      <c r="D8" s="453"/>
      <c r="E8" s="453"/>
      <c r="F8" s="453"/>
      <c r="G8" s="453"/>
      <c r="H8" s="266">
        <f>+' III. FINAL BUDGET'!F13</f>
        <v>20676000</v>
      </c>
      <c r="I8" s="276" t="s">
        <v>145</v>
      </c>
      <c r="J8" s="140"/>
      <c r="K8" s="6"/>
      <c r="L8" s="6"/>
      <c r="M8" s="6"/>
      <c r="N8" s="6"/>
      <c r="O8" s="6"/>
      <c r="P8" s="6"/>
      <c r="Q8" s="6"/>
      <c r="R8" s="6"/>
      <c r="S8" s="6"/>
      <c r="T8" s="6"/>
    </row>
    <row r="9" spans="1:20" ht="101.4" customHeight="1" x14ac:dyDescent="0.3">
      <c r="A9" s="143"/>
      <c r="B9" s="452"/>
      <c r="C9" s="453" t="str">
        <f>+' III. FINAL BUDGET'!E14</f>
        <v>C.2. Other Operating Expenses</v>
      </c>
      <c r="D9" s="453"/>
      <c r="E9" s="453"/>
      <c r="F9" s="453"/>
      <c r="G9" s="453"/>
      <c r="H9" s="266">
        <f>+' III. FINAL BUDGET'!F14</f>
        <v>214533768</v>
      </c>
      <c r="I9" s="276" t="s">
        <v>159</v>
      </c>
      <c r="J9" s="140"/>
      <c r="K9" s="6"/>
      <c r="L9" s="6"/>
      <c r="M9" s="6"/>
      <c r="N9" s="6"/>
      <c r="O9" s="6"/>
      <c r="P9" s="6"/>
      <c r="Q9" s="6"/>
      <c r="R9" s="6"/>
      <c r="S9" s="6"/>
      <c r="T9" s="6"/>
    </row>
    <row r="10" spans="1:20" ht="101.4" customHeight="1" x14ac:dyDescent="0.3">
      <c r="A10" s="143"/>
      <c r="B10" s="452"/>
      <c r="C10" s="453" t="str">
        <f>+' III. FINAL BUDGET'!E15</f>
        <v>C.3. Administration Expenses</v>
      </c>
      <c r="D10" s="453"/>
      <c r="E10" s="453"/>
      <c r="F10" s="453"/>
      <c r="G10" s="453"/>
      <c r="H10" s="266">
        <f>+' III. FINAL BUDGET'!F15</f>
        <v>45300000</v>
      </c>
      <c r="I10" s="276" t="s">
        <v>160</v>
      </c>
      <c r="J10" s="140"/>
      <c r="K10" s="6"/>
      <c r="L10" s="6"/>
      <c r="M10" s="6"/>
      <c r="N10" s="6"/>
      <c r="O10" s="6"/>
      <c r="P10" s="6"/>
      <c r="Q10" s="6"/>
      <c r="R10" s="6"/>
      <c r="S10" s="6"/>
      <c r="T10" s="6"/>
    </row>
    <row r="11" spans="1:20" x14ac:dyDescent="0.3">
      <c r="A11" s="143"/>
      <c r="B11" s="143"/>
      <c r="C11" s="140"/>
      <c r="D11" s="140"/>
      <c r="E11" s="140"/>
      <c r="F11" s="140"/>
      <c r="G11" s="140"/>
      <c r="H11" s="140"/>
      <c r="I11" s="140"/>
      <c r="J11" s="140"/>
      <c r="K11" s="6"/>
      <c r="L11" s="6"/>
      <c r="M11" s="6"/>
      <c r="N11" s="6"/>
      <c r="O11" s="6"/>
      <c r="P11" s="6"/>
      <c r="Q11" s="6"/>
      <c r="R11" s="6"/>
      <c r="S11" s="6"/>
      <c r="T11" s="6"/>
    </row>
    <row r="15" spans="1:20" x14ac:dyDescent="0.3">
      <c r="H15" s="139"/>
      <c r="I15" s="139"/>
      <c r="J15" s="139"/>
      <c r="K15" s="139"/>
      <c r="L15" s="139"/>
      <c r="M15" s="139"/>
      <c r="N15" s="270"/>
      <c r="O15" s="270"/>
      <c r="P15" s="270"/>
      <c r="Q15" s="270"/>
      <c r="R15" s="271"/>
      <c r="S15" s="271"/>
      <c r="T15" s="271"/>
    </row>
    <row r="16" spans="1:20" x14ac:dyDescent="0.3">
      <c r="H16" s="272"/>
      <c r="I16" s="272"/>
      <c r="J16" s="272"/>
      <c r="K16" s="272"/>
      <c r="L16" s="272"/>
      <c r="M16" s="272"/>
      <c r="N16" s="272"/>
      <c r="O16" s="272"/>
      <c r="P16" s="272"/>
      <c r="Q16" s="272"/>
      <c r="R16" s="272"/>
      <c r="S16" s="272"/>
      <c r="T16" s="272"/>
    </row>
    <row r="17" spans="8:20" x14ac:dyDescent="0.3">
      <c r="H17" s="272"/>
      <c r="I17" s="272"/>
      <c r="J17" s="272"/>
      <c r="K17" s="272"/>
      <c r="L17" s="272"/>
      <c r="M17" s="272"/>
      <c r="N17" s="272"/>
      <c r="O17" s="272"/>
      <c r="P17" s="272"/>
      <c r="Q17" s="272"/>
      <c r="R17" s="272"/>
      <c r="S17" s="272"/>
      <c r="T17" s="272"/>
    </row>
  </sheetData>
  <sheetProtection password="EE9B" sheet="1" formatRows="0" selectLockedCells="1"/>
  <mergeCells count="12">
    <mergeCell ref="C7:G7"/>
    <mergeCell ref="B8:B10"/>
    <mergeCell ref="C8:G8"/>
    <mergeCell ref="C10:G10"/>
    <mergeCell ref="C1:I1"/>
    <mergeCell ref="C2:G2"/>
    <mergeCell ref="B3:B6"/>
    <mergeCell ref="C3:G3"/>
    <mergeCell ref="C4:G4"/>
    <mergeCell ref="C5:G5"/>
    <mergeCell ref="C6:G6"/>
    <mergeCell ref="C9:G9"/>
  </mergeCells>
  <conditionalFormatting sqref="H6">
    <cfRule type="containsText" dxfId="52" priority="1" operator="containsText" text="This">
      <formula>NOT(ISERROR(SEARCH("This",H6)))</formula>
    </cfRule>
  </conditionalFormatting>
  <printOptions horizontalCentered="1"/>
  <pageMargins left="0" right="0" top="0.74803149606299213" bottom="0.74803149606299213" header="0.31496062992125984" footer="0.31496062992125984"/>
  <pageSetup scale="69" orientation="landscape" r:id="rId1"/>
  <headerFooter alignWithMargins="0">
    <oddFooter>&amp;L&amp;A - &amp;F
&amp;D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7"/>
  <sheetViews>
    <sheetView showGridLines="0" zoomScale="80" zoomScaleNormal="80" workbookViewId="0">
      <pane xSplit="6" ySplit="6" topLeftCell="K9" activePane="bottomRight" state="frozen"/>
      <selection pane="topRight" activeCell="G1" sqref="G1"/>
      <selection pane="bottomLeft" activeCell="A7" sqref="A7"/>
      <selection pane="bottomRight" activeCell="G18" sqref="G18"/>
    </sheetView>
  </sheetViews>
  <sheetFormatPr baseColWidth="10" defaultColWidth="11.44140625" defaultRowHeight="14.4" x14ac:dyDescent="0.3"/>
  <cols>
    <col min="1" max="1" width="6.6640625" style="160" customWidth="1"/>
    <col min="2" max="2" width="5.109375" style="160" customWidth="1"/>
    <col min="3" max="3" width="16.44140625" style="160" customWidth="1"/>
    <col min="4" max="4" width="35.5546875" style="160" customWidth="1"/>
    <col min="5" max="28" width="18.6640625" style="160" customWidth="1"/>
    <col min="29" max="29" width="20.44140625" style="160" customWidth="1"/>
    <col min="30" max="30" width="16.5546875" style="160" customWidth="1"/>
    <col min="31" max="31" width="9.44140625" style="160" customWidth="1"/>
    <col min="32" max="16384" width="11.44140625" style="160"/>
  </cols>
  <sheetData>
    <row r="1" spans="1:28" ht="28.2" customHeight="1" x14ac:dyDescent="0.3">
      <c r="A1" s="223"/>
      <c r="B1" s="440" t="s">
        <v>63</v>
      </c>
      <c r="C1" s="441"/>
      <c r="D1" s="441"/>
      <c r="E1" s="441"/>
      <c r="F1" s="441"/>
      <c r="G1" s="441"/>
      <c r="H1" s="441"/>
      <c r="I1" s="441"/>
      <c r="J1" s="441"/>
      <c r="K1" s="441"/>
      <c r="L1" s="441"/>
      <c r="M1" s="441"/>
      <c r="N1" s="441"/>
      <c r="O1" s="441"/>
      <c r="P1" s="441"/>
      <c r="Q1" s="227"/>
      <c r="R1" s="227"/>
      <c r="S1" s="227"/>
      <c r="T1" s="227"/>
      <c r="U1" s="227"/>
      <c r="V1" s="227"/>
      <c r="W1" s="227"/>
      <c r="X1" s="227"/>
      <c r="Y1" s="227"/>
      <c r="Z1" s="227"/>
      <c r="AA1" s="227"/>
      <c r="AB1" s="227"/>
    </row>
    <row r="2" spans="1:28" hidden="1" x14ac:dyDescent="0.3">
      <c r="A2" s="223"/>
      <c r="B2" s="469"/>
      <c r="C2" s="469"/>
      <c r="D2" s="469"/>
      <c r="E2" s="469"/>
      <c r="F2" s="469"/>
      <c r="G2" s="469"/>
      <c r="H2" s="469"/>
      <c r="I2" s="228"/>
      <c r="J2" s="228"/>
      <c r="K2" s="228"/>
      <c r="L2" s="228"/>
      <c r="M2" s="228"/>
      <c r="N2" s="228"/>
      <c r="O2" s="228"/>
      <c r="P2" s="228"/>
      <c r="Q2" s="228"/>
      <c r="R2" s="228"/>
      <c r="S2" s="228"/>
      <c r="T2" s="228"/>
      <c r="U2" s="228"/>
      <c r="V2" s="228"/>
      <c r="W2" s="228"/>
      <c r="X2" s="228"/>
      <c r="Y2" s="228"/>
      <c r="Z2" s="228"/>
      <c r="AA2" s="228"/>
      <c r="AB2" s="228"/>
    </row>
    <row r="3" spans="1:28" ht="9" customHeight="1" thickBot="1" x14ac:dyDescent="0.35">
      <c r="A3" s="223"/>
      <c r="B3" s="470"/>
      <c r="C3" s="471"/>
      <c r="D3" s="471"/>
      <c r="E3" s="471"/>
      <c r="F3" s="471"/>
      <c r="G3" s="471"/>
      <c r="H3" s="471"/>
      <c r="I3" s="229"/>
      <c r="J3" s="229"/>
      <c r="K3" s="229"/>
      <c r="L3" s="229"/>
      <c r="M3" s="229"/>
      <c r="N3" s="229"/>
      <c r="O3" s="229"/>
      <c r="P3" s="229"/>
      <c r="Q3" s="229"/>
      <c r="R3" s="229"/>
      <c r="S3" s="229"/>
      <c r="T3" s="229"/>
      <c r="U3" s="229"/>
      <c r="V3" s="229"/>
      <c r="W3" s="229"/>
      <c r="X3" s="229"/>
      <c r="Y3" s="229"/>
      <c r="Z3" s="229"/>
      <c r="AA3" s="229"/>
      <c r="AB3" s="229"/>
    </row>
    <row r="4" spans="1:28" ht="13.5" hidden="1" customHeight="1" thickBot="1" x14ac:dyDescent="0.35">
      <c r="A4" s="223"/>
      <c r="B4" s="223"/>
      <c r="C4" s="223"/>
      <c r="D4" s="223"/>
      <c r="E4" s="223"/>
      <c r="F4" s="223"/>
      <c r="G4" s="223"/>
      <c r="H4" s="224"/>
      <c r="I4" s="223"/>
      <c r="J4" s="224"/>
      <c r="K4" s="223"/>
      <c r="L4" s="224"/>
      <c r="M4" s="223"/>
      <c r="N4" s="224"/>
      <c r="O4" s="223"/>
      <c r="P4" s="224"/>
      <c r="Q4" s="223"/>
      <c r="R4" s="224"/>
      <c r="S4" s="223"/>
      <c r="T4" s="224"/>
      <c r="U4" s="223"/>
      <c r="V4" s="224"/>
      <c r="W4" s="223"/>
      <c r="X4" s="224"/>
      <c r="Y4" s="223"/>
      <c r="Z4" s="224"/>
      <c r="AA4" s="223"/>
      <c r="AB4" s="224"/>
    </row>
    <row r="5" spans="1:28" ht="28.95" customHeight="1" thickBot="1" x14ac:dyDescent="0.35">
      <c r="A5" s="223"/>
      <c r="B5" s="472"/>
      <c r="C5" s="473"/>
      <c r="D5" s="474"/>
      <c r="E5" s="457" t="s">
        <v>64</v>
      </c>
      <c r="F5" s="458"/>
      <c r="G5" s="459" t="s">
        <v>65</v>
      </c>
      <c r="H5" s="460"/>
      <c r="I5" s="459" t="s">
        <v>147</v>
      </c>
      <c r="J5" s="460"/>
      <c r="K5" s="459" t="s">
        <v>146</v>
      </c>
      <c r="L5" s="460"/>
      <c r="M5" s="459" t="s">
        <v>148</v>
      </c>
      <c r="N5" s="460"/>
      <c r="O5" s="459" t="s">
        <v>149</v>
      </c>
      <c r="P5" s="460"/>
      <c r="Q5" s="459" t="s">
        <v>150</v>
      </c>
      <c r="R5" s="460"/>
      <c r="S5" s="459" t="s">
        <v>151</v>
      </c>
      <c r="T5" s="460"/>
      <c r="U5" s="459" t="s">
        <v>152</v>
      </c>
      <c r="V5" s="460"/>
      <c r="W5" s="459" t="s">
        <v>66</v>
      </c>
      <c r="X5" s="460"/>
      <c r="Y5" s="459" t="s">
        <v>67</v>
      </c>
      <c r="Z5" s="460"/>
      <c r="AA5" s="459" t="s">
        <v>68</v>
      </c>
      <c r="AB5" s="460"/>
    </row>
    <row r="6" spans="1:28" ht="25.5" customHeight="1" thickBot="1" x14ac:dyDescent="0.35">
      <c r="A6" s="230" t="s">
        <v>48</v>
      </c>
      <c r="B6" s="475" t="s">
        <v>49</v>
      </c>
      <c r="C6" s="476"/>
      <c r="D6" s="231" t="s">
        <v>50</v>
      </c>
      <c r="E6" s="232" t="s">
        <v>51</v>
      </c>
      <c r="F6" s="233" t="s">
        <v>103</v>
      </c>
      <c r="G6" s="232" t="s">
        <v>51</v>
      </c>
      <c r="H6" s="233" t="str">
        <f>+$F$6</f>
        <v>Non-Pecuniary</v>
      </c>
      <c r="I6" s="232" t="s">
        <v>51</v>
      </c>
      <c r="J6" s="233" t="str">
        <f>+$F$6</f>
        <v>Non-Pecuniary</v>
      </c>
      <c r="K6" s="232" t="s">
        <v>51</v>
      </c>
      <c r="L6" s="233" t="str">
        <f>+$F$6</f>
        <v>Non-Pecuniary</v>
      </c>
      <c r="M6" s="232" t="s">
        <v>51</v>
      </c>
      <c r="N6" s="233" t="str">
        <f>+$F$6</f>
        <v>Non-Pecuniary</v>
      </c>
      <c r="O6" s="232" t="s">
        <v>51</v>
      </c>
      <c r="P6" s="233" t="str">
        <f>+$F$6</f>
        <v>Non-Pecuniary</v>
      </c>
      <c r="Q6" s="232" t="s">
        <v>51</v>
      </c>
      <c r="R6" s="233" t="str">
        <f>+$F$6</f>
        <v>Non-Pecuniary</v>
      </c>
      <c r="S6" s="232" t="s">
        <v>51</v>
      </c>
      <c r="T6" s="233" t="str">
        <f>+$F$6</f>
        <v>Non-Pecuniary</v>
      </c>
      <c r="U6" s="232" t="s">
        <v>51</v>
      </c>
      <c r="V6" s="233" t="str">
        <f>+$F$6</f>
        <v>Non-Pecuniary</v>
      </c>
      <c r="W6" s="232" t="s">
        <v>51</v>
      </c>
      <c r="X6" s="233" t="str">
        <f>+$F$6</f>
        <v>Non-Pecuniary</v>
      </c>
      <c r="Y6" s="232" t="s">
        <v>51</v>
      </c>
      <c r="Z6" s="233" t="str">
        <f>+$F$6</f>
        <v>Non-Pecuniary</v>
      </c>
      <c r="AA6" s="232" t="s">
        <v>51</v>
      </c>
      <c r="AB6" s="233" t="str">
        <f>+$F$6</f>
        <v>Non-Pecuniary</v>
      </c>
    </row>
    <row r="7" spans="1:28" ht="39.75" customHeight="1" thickBot="1" x14ac:dyDescent="0.35">
      <c r="A7" s="467" t="s">
        <v>52</v>
      </c>
      <c r="B7" s="477" t="s">
        <v>53</v>
      </c>
      <c r="C7" s="478" t="s">
        <v>52</v>
      </c>
      <c r="D7" s="234" t="s">
        <v>17</v>
      </c>
      <c r="E7" s="235">
        <f>+G7+I7+K7+M7+O7+Q7+S7+U7+W7+Y7+AA7</f>
        <v>0</v>
      </c>
      <c r="F7" s="236"/>
      <c r="G7" s="237">
        <v>0</v>
      </c>
      <c r="H7" s="236"/>
      <c r="I7" s="237">
        <v>0</v>
      </c>
      <c r="J7" s="236"/>
      <c r="K7" s="237">
        <v>0</v>
      </c>
      <c r="L7" s="236"/>
      <c r="M7" s="237">
        <v>0</v>
      </c>
      <c r="N7" s="236"/>
      <c r="O7" s="237">
        <v>0</v>
      </c>
      <c r="P7" s="236"/>
      <c r="Q7" s="237">
        <v>0</v>
      </c>
      <c r="R7" s="236"/>
      <c r="S7" s="237">
        <v>0</v>
      </c>
      <c r="T7" s="236"/>
      <c r="U7" s="237">
        <v>0</v>
      </c>
      <c r="V7" s="236"/>
      <c r="W7" s="237">
        <v>0</v>
      </c>
      <c r="X7" s="236"/>
      <c r="Y7" s="237">
        <v>0</v>
      </c>
      <c r="Z7" s="236"/>
      <c r="AA7" s="237">
        <v>0</v>
      </c>
      <c r="AB7" s="236"/>
    </row>
    <row r="8" spans="1:28" ht="39.75" customHeight="1" thickBot="1" x14ac:dyDescent="0.35">
      <c r="A8" s="467"/>
      <c r="B8" s="461"/>
      <c r="C8" s="464"/>
      <c r="D8" s="238" t="s">
        <v>97</v>
      </c>
      <c r="E8" s="239">
        <f t="shared" ref="E8:E15" si="0">+G8+I8+K8+M8+O8+Q8+S8+U8+W8+Y8+AA8</f>
        <v>0</v>
      </c>
      <c r="F8" s="240"/>
      <c r="G8" s="237">
        <v>0</v>
      </c>
      <c r="H8" s="240"/>
      <c r="I8" s="237">
        <v>0</v>
      </c>
      <c r="J8" s="240"/>
      <c r="K8" s="237">
        <v>0</v>
      </c>
      <c r="L8" s="240"/>
      <c r="M8" s="237">
        <v>0</v>
      </c>
      <c r="N8" s="240"/>
      <c r="O8" s="237">
        <v>0</v>
      </c>
      <c r="P8" s="240"/>
      <c r="Q8" s="237">
        <v>0</v>
      </c>
      <c r="R8" s="240"/>
      <c r="S8" s="237">
        <v>0</v>
      </c>
      <c r="T8" s="240"/>
      <c r="U8" s="237">
        <v>0</v>
      </c>
      <c r="V8" s="240"/>
      <c r="W8" s="237">
        <v>0</v>
      </c>
      <c r="X8" s="240"/>
      <c r="Y8" s="237">
        <v>0</v>
      </c>
      <c r="Z8" s="240"/>
      <c r="AA8" s="237">
        <v>0</v>
      </c>
      <c r="AB8" s="240"/>
    </row>
    <row r="9" spans="1:28" ht="39.75" customHeight="1" thickBot="1" x14ac:dyDescent="0.35">
      <c r="A9" s="467"/>
      <c r="B9" s="461" t="s">
        <v>54</v>
      </c>
      <c r="C9" s="464" t="s">
        <v>55</v>
      </c>
      <c r="D9" s="238" t="s">
        <v>28</v>
      </c>
      <c r="E9" s="239">
        <f t="shared" si="0"/>
        <v>0</v>
      </c>
      <c r="F9" s="240"/>
      <c r="G9" s="237"/>
      <c r="H9" s="240"/>
      <c r="I9" s="237">
        <v>0</v>
      </c>
      <c r="J9" s="240"/>
      <c r="K9" s="237">
        <v>0</v>
      </c>
      <c r="L9" s="240"/>
      <c r="M9" s="237">
        <v>0</v>
      </c>
      <c r="N9" s="240"/>
      <c r="O9" s="237">
        <v>0</v>
      </c>
      <c r="P9" s="240"/>
      <c r="Q9" s="237">
        <v>0</v>
      </c>
      <c r="R9" s="240"/>
      <c r="S9" s="237">
        <v>0</v>
      </c>
      <c r="T9" s="240"/>
      <c r="U9" s="237">
        <v>0</v>
      </c>
      <c r="V9" s="240"/>
      <c r="W9" s="237">
        <v>0</v>
      </c>
      <c r="X9" s="240"/>
      <c r="Y9" s="237">
        <v>0</v>
      </c>
      <c r="Z9" s="240"/>
      <c r="AA9" s="237">
        <v>0</v>
      </c>
      <c r="AB9" s="240"/>
    </row>
    <row r="10" spans="1:28" ht="39.75" customHeight="1" thickBot="1" x14ac:dyDescent="0.35">
      <c r="A10" s="467"/>
      <c r="B10" s="461"/>
      <c r="C10" s="464"/>
      <c r="D10" s="238" t="s">
        <v>29</v>
      </c>
      <c r="E10" s="239">
        <f t="shared" si="0"/>
        <v>0</v>
      </c>
      <c r="F10" s="239">
        <f>+H10+J10+L10+N10+P10+R10+T10+V10+X10+Z10+AB10</f>
        <v>15000000</v>
      </c>
      <c r="G10" s="237"/>
      <c r="H10" s="241">
        <v>15000000</v>
      </c>
      <c r="I10" s="237">
        <v>0</v>
      </c>
      <c r="J10" s="241">
        <v>0</v>
      </c>
      <c r="K10" s="237">
        <v>0</v>
      </c>
      <c r="L10" s="241">
        <v>0</v>
      </c>
      <c r="M10" s="237">
        <v>0</v>
      </c>
      <c r="N10" s="241">
        <v>0</v>
      </c>
      <c r="O10" s="237">
        <v>0</v>
      </c>
      <c r="P10" s="241">
        <v>0</v>
      </c>
      <c r="Q10" s="237">
        <v>0</v>
      </c>
      <c r="R10" s="241">
        <v>0</v>
      </c>
      <c r="S10" s="237">
        <v>0</v>
      </c>
      <c r="T10" s="241">
        <v>0</v>
      </c>
      <c r="U10" s="237">
        <v>0</v>
      </c>
      <c r="V10" s="241">
        <v>0</v>
      </c>
      <c r="W10" s="237">
        <v>0</v>
      </c>
      <c r="X10" s="241">
        <v>0</v>
      </c>
      <c r="Y10" s="237">
        <v>0</v>
      </c>
      <c r="Z10" s="241">
        <v>0</v>
      </c>
      <c r="AA10" s="237">
        <v>0</v>
      </c>
      <c r="AB10" s="241">
        <v>0</v>
      </c>
    </row>
    <row r="11" spans="1:28" ht="39.75" customHeight="1" thickBot="1" x14ac:dyDescent="0.35">
      <c r="A11" s="467"/>
      <c r="B11" s="461"/>
      <c r="C11" s="464"/>
      <c r="D11" s="238" t="s">
        <v>30</v>
      </c>
      <c r="E11" s="239">
        <f t="shared" si="0"/>
        <v>0</v>
      </c>
      <c r="F11" s="239">
        <f t="shared" ref="F11:F15" si="1">+H11+J11+L11+N11+P11+R11+T11+V11+X11+Z11+AB11</f>
        <v>0</v>
      </c>
      <c r="G11" s="237"/>
      <c r="H11" s="241">
        <v>0</v>
      </c>
      <c r="I11" s="237">
        <v>0</v>
      </c>
      <c r="J11" s="241">
        <v>0</v>
      </c>
      <c r="K11" s="237">
        <v>0</v>
      </c>
      <c r="L11" s="241">
        <v>0</v>
      </c>
      <c r="M11" s="237">
        <v>0</v>
      </c>
      <c r="N11" s="241">
        <v>0</v>
      </c>
      <c r="O11" s="237">
        <v>0</v>
      </c>
      <c r="P11" s="241">
        <v>0</v>
      </c>
      <c r="Q11" s="237">
        <v>0</v>
      </c>
      <c r="R11" s="241">
        <v>0</v>
      </c>
      <c r="S11" s="237">
        <v>0</v>
      </c>
      <c r="T11" s="241">
        <v>0</v>
      </c>
      <c r="U11" s="237">
        <v>0</v>
      </c>
      <c r="V11" s="241">
        <v>0</v>
      </c>
      <c r="W11" s="237">
        <v>0</v>
      </c>
      <c r="X11" s="241">
        <v>0</v>
      </c>
      <c r="Y11" s="237">
        <v>0</v>
      </c>
      <c r="Z11" s="241">
        <v>0</v>
      </c>
      <c r="AA11" s="237">
        <v>0</v>
      </c>
      <c r="AB11" s="241">
        <v>0</v>
      </c>
    </row>
    <row r="12" spans="1:28" ht="39.75" customHeight="1" thickBot="1" x14ac:dyDescent="0.35">
      <c r="A12" s="467"/>
      <c r="B12" s="461"/>
      <c r="C12" s="464"/>
      <c r="D12" s="238" t="s">
        <v>32</v>
      </c>
      <c r="E12" s="242">
        <f t="shared" si="0"/>
        <v>75862980</v>
      </c>
      <c r="F12" s="239">
        <f t="shared" si="1"/>
        <v>7604155</v>
      </c>
      <c r="G12" s="237">
        <v>75862980</v>
      </c>
      <c r="H12" s="241">
        <v>7604155</v>
      </c>
      <c r="I12" s="237">
        <v>0</v>
      </c>
      <c r="J12" s="241">
        <v>0</v>
      </c>
      <c r="K12" s="237">
        <v>0</v>
      </c>
      <c r="L12" s="241">
        <v>0</v>
      </c>
      <c r="M12" s="237">
        <v>0</v>
      </c>
      <c r="N12" s="241">
        <v>0</v>
      </c>
      <c r="O12" s="237">
        <v>0</v>
      </c>
      <c r="P12" s="241">
        <v>0</v>
      </c>
      <c r="Q12" s="237">
        <v>0</v>
      </c>
      <c r="R12" s="241">
        <v>0</v>
      </c>
      <c r="S12" s="237">
        <v>0</v>
      </c>
      <c r="T12" s="241">
        <v>0</v>
      </c>
      <c r="U12" s="237">
        <v>0</v>
      </c>
      <c r="V12" s="241">
        <v>0</v>
      </c>
      <c r="W12" s="237">
        <v>0</v>
      </c>
      <c r="X12" s="241">
        <v>0</v>
      </c>
      <c r="Y12" s="237">
        <v>0</v>
      </c>
      <c r="Z12" s="241">
        <v>0</v>
      </c>
      <c r="AA12" s="237">
        <v>0</v>
      </c>
      <c r="AB12" s="241">
        <v>0</v>
      </c>
    </row>
    <row r="13" spans="1:28" ht="34.5" customHeight="1" thickBot="1" x14ac:dyDescent="0.35">
      <c r="A13" s="467" t="s">
        <v>113</v>
      </c>
      <c r="B13" s="461" t="s">
        <v>56</v>
      </c>
      <c r="C13" s="464" t="s">
        <v>57</v>
      </c>
      <c r="D13" s="238" t="s">
        <v>98</v>
      </c>
      <c r="E13" s="243">
        <f t="shared" si="0"/>
        <v>0</v>
      </c>
      <c r="F13" s="239">
        <f t="shared" si="1"/>
        <v>20676000</v>
      </c>
      <c r="G13" s="237">
        <v>0</v>
      </c>
      <c r="H13" s="241">
        <v>20676000</v>
      </c>
      <c r="I13" s="237">
        <v>0</v>
      </c>
      <c r="J13" s="241">
        <v>0</v>
      </c>
      <c r="K13" s="237">
        <v>0</v>
      </c>
      <c r="L13" s="241">
        <v>0</v>
      </c>
      <c r="M13" s="237">
        <v>0</v>
      </c>
      <c r="N13" s="241">
        <v>0</v>
      </c>
      <c r="O13" s="237">
        <v>0</v>
      </c>
      <c r="P13" s="241">
        <v>0</v>
      </c>
      <c r="Q13" s="237">
        <v>0</v>
      </c>
      <c r="R13" s="241">
        <v>0</v>
      </c>
      <c r="S13" s="237">
        <v>0</v>
      </c>
      <c r="T13" s="241">
        <v>0</v>
      </c>
      <c r="U13" s="237">
        <v>0</v>
      </c>
      <c r="V13" s="241">
        <v>0</v>
      </c>
      <c r="W13" s="237">
        <v>0</v>
      </c>
      <c r="X13" s="241">
        <v>0</v>
      </c>
      <c r="Y13" s="237">
        <v>0</v>
      </c>
      <c r="Z13" s="241">
        <v>0</v>
      </c>
      <c r="AA13" s="237">
        <v>0</v>
      </c>
      <c r="AB13" s="241">
        <v>0</v>
      </c>
    </row>
    <row r="14" spans="1:28" ht="36" customHeight="1" thickBot="1" x14ac:dyDescent="0.35">
      <c r="A14" s="467"/>
      <c r="B14" s="462"/>
      <c r="C14" s="465"/>
      <c r="D14" s="238" t="s">
        <v>33</v>
      </c>
      <c r="E14" s="239">
        <f t="shared" si="0"/>
        <v>81600000</v>
      </c>
      <c r="F14" s="239">
        <f t="shared" si="1"/>
        <v>132933768</v>
      </c>
      <c r="G14" s="237">
        <v>81600000</v>
      </c>
      <c r="H14" s="241">
        <v>122133768</v>
      </c>
      <c r="I14" s="237">
        <v>0</v>
      </c>
      <c r="J14" s="241">
        <v>1200000</v>
      </c>
      <c r="K14" s="237">
        <v>0</v>
      </c>
      <c r="L14" s="241">
        <v>1200000</v>
      </c>
      <c r="M14" s="237">
        <v>0</v>
      </c>
      <c r="N14" s="241">
        <v>3600000</v>
      </c>
      <c r="O14" s="237">
        <v>0</v>
      </c>
      <c r="P14" s="241">
        <v>1200000</v>
      </c>
      <c r="Q14" s="237">
        <v>0</v>
      </c>
      <c r="R14" s="241">
        <v>1200000</v>
      </c>
      <c r="S14" s="237">
        <v>0</v>
      </c>
      <c r="T14" s="241">
        <v>1200000</v>
      </c>
      <c r="U14" s="237">
        <v>0</v>
      </c>
      <c r="V14" s="241">
        <v>1200000</v>
      </c>
      <c r="W14" s="237">
        <v>0</v>
      </c>
      <c r="X14" s="241">
        <v>0</v>
      </c>
      <c r="Y14" s="237">
        <v>0</v>
      </c>
      <c r="Z14" s="241">
        <v>0</v>
      </c>
      <c r="AA14" s="237">
        <v>0</v>
      </c>
      <c r="AB14" s="241">
        <v>0</v>
      </c>
    </row>
    <row r="15" spans="1:28" ht="36" customHeight="1" thickBot="1" x14ac:dyDescent="0.35">
      <c r="A15" s="468"/>
      <c r="B15" s="463"/>
      <c r="C15" s="466"/>
      <c r="D15" s="244" t="s">
        <v>34</v>
      </c>
      <c r="E15" s="245">
        <f t="shared" si="0"/>
        <v>0</v>
      </c>
      <c r="F15" s="239">
        <f t="shared" si="1"/>
        <v>45300000</v>
      </c>
      <c r="G15" s="246">
        <v>0</v>
      </c>
      <c r="H15" s="247">
        <v>31200000</v>
      </c>
      <c r="I15" s="246">
        <v>0</v>
      </c>
      <c r="J15" s="247">
        <v>1800000</v>
      </c>
      <c r="K15" s="246">
        <v>0</v>
      </c>
      <c r="L15" s="247">
        <v>1800000</v>
      </c>
      <c r="M15" s="246">
        <v>0</v>
      </c>
      <c r="N15" s="247">
        <v>3300000</v>
      </c>
      <c r="O15" s="246">
        <v>0</v>
      </c>
      <c r="P15" s="247">
        <v>1800000</v>
      </c>
      <c r="Q15" s="246">
        <v>0</v>
      </c>
      <c r="R15" s="247">
        <v>1800000</v>
      </c>
      <c r="S15" s="246">
        <v>0</v>
      </c>
      <c r="T15" s="247">
        <v>1800000</v>
      </c>
      <c r="U15" s="246">
        <v>0</v>
      </c>
      <c r="V15" s="247">
        <v>1800000</v>
      </c>
      <c r="W15" s="246">
        <v>0</v>
      </c>
      <c r="X15" s="247">
        <v>0</v>
      </c>
      <c r="Y15" s="246">
        <v>0</v>
      </c>
      <c r="Z15" s="247">
        <v>0</v>
      </c>
      <c r="AA15" s="246">
        <v>0</v>
      </c>
      <c r="AB15" s="247">
        <v>0</v>
      </c>
    </row>
    <row r="16" spans="1:28" ht="40.950000000000003" customHeight="1" thickBot="1" x14ac:dyDescent="0.35">
      <c r="A16" s="223"/>
      <c r="B16" s="455"/>
      <c r="C16" s="456"/>
      <c r="D16" s="248" t="s">
        <v>59</v>
      </c>
      <c r="E16" s="249">
        <f t="shared" ref="E16:P16" si="2">SUM(E7:E15)</f>
        <v>157462980</v>
      </c>
      <c r="F16" s="249">
        <f t="shared" si="2"/>
        <v>221513923</v>
      </c>
      <c r="G16" s="249">
        <f>SUM(G7:G15)</f>
        <v>157462980</v>
      </c>
      <c r="H16" s="250">
        <f t="shared" si="2"/>
        <v>196613923</v>
      </c>
      <c r="I16" s="249">
        <f t="shared" si="2"/>
        <v>0</v>
      </c>
      <c r="J16" s="250">
        <f t="shared" si="2"/>
        <v>3000000</v>
      </c>
      <c r="K16" s="249">
        <f t="shared" si="2"/>
        <v>0</v>
      </c>
      <c r="L16" s="250">
        <f t="shared" si="2"/>
        <v>3000000</v>
      </c>
      <c r="M16" s="249">
        <f t="shared" si="2"/>
        <v>0</v>
      </c>
      <c r="N16" s="250">
        <f t="shared" si="2"/>
        <v>6900000</v>
      </c>
      <c r="O16" s="249">
        <f t="shared" si="2"/>
        <v>0</v>
      </c>
      <c r="P16" s="250">
        <f t="shared" si="2"/>
        <v>3000000</v>
      </c>
      <c r="Q16" s="249">
        <f t="shared" ref="Q16:T16" si="3">SUM(Q7:Q15)</f>
        <v>0</v>
      </c>
      <c r="R16" s="250">
        <f t="shared" si="3"/>
        <v>3000000</v>
      </c>
      <c r="S16" s="249">
        <f t="shared" si="3"/>
        <v>0</v>
      </c>
      <c r="T16" s="250">
        <f t="shared" si="3"/>
        <v>3000000</v>
      </c>
      <c r="U16" s="249">
        <f t="shared" ref="U16:Z16" si="4">SUM(U7:U15)</f>
        <v>0</v>
      </c>
      <c r="V16" s="250">
        <f t="shared" si="4"/>
        <v>3000000</v>
      </c>
      <c r="W16" s="249">
        <f t="shared" si="4"/>
        <v>0</v>
      </c>
      <c r="X16" s="250">
        <f t="shared" si="4"/>
        <v>0</v>
      </c>
      <c r="Y16" s="249">
        <f t="shared" si="4"/>
        <v>0</v>
      </c>
      <c r="Z16" s="250">
        <f t="shared" si="4"/>
        <v>0</v>
      </c>
      <c r="AA16" s="249">
        <f t="shared" ref="AA16:AB16" si="5">SUM(AA7:AA15)</f>
        <v>0</v>
      </c>
      <c r="AB16" s="250">
        <f t="shared" si="5"/>
        <v>0</v>
      </c>
    </row>
    <row r="17" spans="1:28" x14ac:dyDescent="0.3">
      <c r="A17" s="223"/>
      <c r="B17" s="223"/>
      <c r="C17" s="223"/>
      <c r="D17" s="225"/>
      <c r="E17" s="223"/>
      <c r="F17" s="223"/>
      <c r="G17" s="226"/>
      <c r="H17" s="223"/>
      <c r="I17" s="226"/>
      <c r="J17" s="223"/>
      <c r="K17" s="226"/>
      <c r="L17" s="223"/>
      <c r="M17" s="226"/>
      <c r="N17" s="223"/>
      <c r="O17" s="226"/>
      <c r="P17" s="223"/>
      <c r="Q17" s="226"/>
      <c r="R17" s="223"/>
      <c r="S17" s="226"/>
      <c r="T17" s="223"/>
      <c r="U17" s="226"/>
      <c r="V17" s="223"/>
      <c r="W17" s="226"/>
      <c r="X17" s="223"/>
      <c r="Y17" s="226"/>
      <c r="Z17" s="223"/>
      <c r="AA17" s="226"/>
      <c r="AB17" s="223"/>
    </row>
  </sheetData>
  <sheetProtection password="EE9B" sheet="1" insertColumns="0"/>
  <mergeCells count="26">
    <mergeCell ref="AA5:AB5"/>
    <mergeCell ref="Q5:R5"/>
    <mergeCell ref="S5:T5"/>
    <mergeCell ref="U5:V5"/>
    <mergeCell ref="W5:X5"/>
    <mergeCell ref="Y5:Z5"/>
    <mergeCell ref="B1:P1"/>
    <mergeCell ref="A7:A12"/>
    <mergeCell ref="A13:A15"/>
    <mergeCell ref="B2:H2"/>
    <mergeCell ref="B3:H3"/>
    <mergeCell ref="B5:D5"/>
    <mergeCell ref="G5:H5"/>
    <mergeCell ref="B6:C6"/>
    <mergeCell ref="O5:P5"/>
    <mergeCell ref="B7:B8"/>
    <mergeCell ref="C7:C8"/>
    <mergeCell ref="B9:B12"/>
    <mergeCell ref="C9:C12"/>
    <mergeCell ref="B16:C16"/>
    <mergeCell ref="E5:F5"/>
    <mergeCell ref="I5:J5"/>
    <mergeCell ref="K5:L5"/>
    <mergeCell ref="M5:N5"/>
    <mergeCell ref="B13:B15"/>
    <mergeCell ref="C13:C15"/>
  </mergeCells>
  <conditionalFormatting sqref="E12">
    <cfRule type="containsText" dxfId="51" priority="21" stopIfTrue="1" operator="containsText" text="Este Sub Item">
      <formula>NOT(ISERROR(SEARCH("Este Sub Item",E12)))</formula>
    </cfRule>
  </conditionalFormatting>
  <conditionalFormatting sqref="E16:F16">
    <cfRule type="containsText" dxfId="50" priority="25" stopIfTrue="1" operator="containsText" text="El Monto">
      <formula>NOT(ISERROR(SEARCH("El Monto",E16)))</formula>
    </cfRule>
  </conditionalFormatting>
  <conditionalFormatting sqref="G16:AB16">
    <cfRule type="containsText" dxfId="49" priority="1" stopIfTrue="1" operator="containsText" text="Debe ser">
      <formula>NOT(ISERROR(SEARCH("Debe ser",G16)))</formula>
    </cfRule>
  </conditionalFormatting>
  <dataValidations count="1">
    <dataValidation operator="greaterThanOrEqual" allowBlank="1" showInputMessage="1" sqref="O7:O15 M7:M15 K7:K15 I7:I15 G7:G15 Q7:Q15 S7:S15 U7:U15 W7:W15 Y7:Y15 AA7:AA15" xr:uid="{00000000-0002-0000-0600-000000000000}"/>
  </dataValidations>
  <printOptions horizontalCentered="1"/>
  <pageMargins left="0" right="0" top="0.78740157480314965" bottom="0.78740157480314965" header="0" footer="0.59055118110236227"/>
  <pageSetup paperSize="119" scale="70" orientation="landscape" r:id="rId1"/>
  <headerFooter alignWithMargins="0">
    <oddFooter>&amp;L&amp;A - &amp;F
&amp;D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rgb="FF002060"/>
  </sheetPr>
  <dimension ref="A1:U30"/>
  <sheetViews>
    <sheetView showGridLines="0" topLeftCell="A2" zoomScale="90" zoomScaleNormal="90" workbookViewId="0">
      <pane xSplit="4" ySplit="6" topLeftCell="E8" activePane="bottomRight" state="frozen"/>
      <selection pane="topRight" activeCell="E2" sqref="E2"/>
      <selection pane="bottomLeft" activeCell="A8" sqref="A8"/>
      <selection pane="bottomRight" activeCell="G14" sqref="G14"/>
    </sheetView>
  </sheetViews>
  <sheetFormatPr baseColWidth="10" defaultColWidth="11.44140625" defaultRowHeight="12" x14ac:dyDescent="0.3"/>
  <cols>
    <col min="1" max="1" width="3" style="12" customWidth="1"/>
    <col min="2" max="2" width="3.88671875" style="12" customWidth="1"/>
    <col min="3" max="3" width="15" style="12" customWidth="1"/>
    <col min="4" max="4" width="32.109375" style="12" customWidth="1"/>
    <col min="5" max="16" width="15.44140625" style="12" customWidth="1"/>
    <col min="17" max="17" width="3.44140625" style="12" customWidth="1"/>
    <col min="18" max="18" width="12.6640625" style="12" customWidth="1"/>
    <col min="19" max="19" width="17.44140625" style="12" customWidth="1"/>
    <col min="20" max="20" width="20.44140625" style="12" customWidth="1"/>
    <col min="21" max="21" width="16.5546875" style="12" hidden="1" customWidth="1"/>
    <col min="22" max="22" width="9.44140625" style="12" customWidth="1"/>
    <col min="23" max="16384" width="11.44140625" style="12"/>
  </cols>
  <sheetData>
    <row r="1" spans="1:19" ht="9" customHeight="1" x14ac:dyDescent="0.3">
      <c r="A1" s="51"/>
      <c r="B1" s="51"/>
      <c r="C1" s="51"/>
      <c r="D1" s="51"/>
      <c r="E1" s="51"/>
      <c r="F1" s="51"/>
      <c r="G1" s="51"/>
      <c r="H1" s="51"/>
      <c r="I1" s="51"/>
      <c r="J1" s="51"/>
      <c r="K1" s="51"/>
      <c r="L1" s="51"/>
      <c r="M1" s="51"/>
      <c r="N1" s="51"/>
      <c r="O1" s="51"/>
      <c r="P1" s="51"/>
      <c r="Q1" s="51"/>
    </row>
    <row r="2" spans="1:19" ht="28.5" customHeight="1" x14ac:dyDescent="0.3">
      <c r="A2" s="51"/>
      <c r="B2" s="490" t="s">
        <v>69</v>
      </c>
      <c r="C2" s="490"/>
      <c r="D2" s="490"/>
      <c r="E2" s="490"/>
      <c r="F2" s="490"/>
      <c r="G2" s="490"/>
      <c r="H2" s="490"/>
      <c r="I2" s="490"/>
      <c r="J2" s="490"/>
      <c r="K2" s="490"/>
      <c r="L2" s="490"/>
      <c r="M2" s="490"/>
      <c r="N2" s="490"/>
      <c r="O2" s="490"/>
      <c r="P2" s="490"/>
      <c r="Q2" s="51"/>
    </row>
    <row r="3" spans="1:19" hidden="1" x14ac:dyDescent="0.3">
      <c r="A3" s="51"/>
      <c r="B3" s="491"/>
      <c r="C3" s="491"/>
      <c r="D3" s="491"/>
      <c r="E3" s="491"/>
      <c r="F3" s="491"/>
      <c r="G3" s="491"/>
      <c r="H3" s="491"/>
      <c r="I3" s="491"/>
      <c r="J3" s="491"/>
      <c r="K3" s="491"/>
      <c r="L3" s="491"/>
      <c r="M3" s="491"/>
      <c r="N3" s="491"/>
      <c r="O3" s="491"/>
      <c r="P3" s="491"/>
      <c r="Q3" s="51"/>
    </row>
    <row r="4" spans="1:19" ht="9" customHeight="1" thickBot="1" x14ac:dyDescent="0.35">
      <c r="A4" s="51"/>
      <c r="B4" s="492"/>
      <c r="C4" s="493"/>
      <c r="D4" s="493"/>
      <c r="E4" s="493"/>
      <c r="F4" s="493"/>
      <c r="G4" s="493"/>
      <c r="H4" s="493"/>
      <c r="I4" s="493"/>
      <c r="J4" s="493"/>
      <c r="K4" s="493"/>
      <c r="L4" s="493"/>
      <c r="M4" s="493"/>
      <c r="N4" s="493"/>
      <c r="O4" s="493"/>
      <c r="P4" s="493"/>
      <c r="Q4" s="51"/>
    </row>
    <row r="5" spans="1:19" ht="13.5" hidden="1" customHeight="1" thickBot="1" x14ac:dyDescent="0.35">
      <c r="A5" s="51"/>
      <c r="B5" s="51"/>
      <c r="C5" s="51"/>
      <c r="D5" s="51"/>
      <c r="E5" s="51"/>
      <c r="F5" s="51"/>
      <c r="G5" s="51"/>
      <c r="H5" s="51"/>
      <c r="I5" s="51"/>
      <c r="J5" s="51"/>
      <c r="K5" s="51"/>
      <c r="L5" s="51"/>
      <c r="M5" s="51"/>
      <c r="N5" s="51"/>
      <c r="O5" s="51"/>
      <c r="P5" s="52"/>
      <c r="Q5" s="51"/>
    </row>
    <row r="6" spans="1:19" ht="25.5" customHeight="1" thickBot="1" x14ac:dyDescent="0.35">
      <c r="A6" s="51"/>
      <c r="B6" s="494"/>
      <c r="C6" s="494"/>
      <c r="D6" s="495"/>
      <c r="E6" s="496" t="s">
        <v>45</v>
      </c>
      <c r="F6" s="497"/>
      <c r="G6" s="498"/>
      <c r="H6" s="496" t="s">
        <v>70</v>
      </c>
      <c r="I6" s="497"/>
      <c r="J6" s="498"/>
      <c r="K6" s="499" t="s">
        <v>47</v>
      </c>
      <c r="L6" s="500"/>
      <c r="M6" s="500"/>
      <c r="N6" s="500"/>
      <c r="O6" s="500"/>
      <c r="P6" s="501"/>
      <c r="Q6" s="53"/>
    </row>
    <row r="7" spans="1:19" ht="37.950000000000003" customHeight="1" thickBot="1" x14ac:dyDescent="0.35">
      <c r="A7" s="52"/>
      <c r="B7" s="482" t="s">
        <v>49</v>
      </c>
      <c r="C7" s="483"/>
      <c r="D7" s="54" t="s">
        <v>50</v>
      </c>
      <c r="E7" s="55" t="s">
        <v>71</v>
      </c>
      <c r="F7" s="56" t="s">
        <v>72</v>
      </c>
      <c r="G7" s="57" t="s">
        <v>73</v>
      </c>
      <c r="H7" s="55" t="s">
        <v>71</v>
      </c>
      <c r="I7" s="58" t="str">
        <f>+$F$7</f>
        <v>Modification Requested (Date: )</v>
      </c>
      <c r="J7" s="57" t="s">
        <v>73</v>
      </c>
      <c r="K7" s="55" t="s">
        <v>74</v>
      </c>
      <c r="L7" s="58" t="str">
        <f>+$F$7</f>
        <v>Modification Requested (Date: )</v>
      </c>
      <c r="M7" s="57" t="s">
        <v>75</v>
      </c>
      <c r="N7" s="55" t="s">
        <v>76</v>
      </c>
      <c r="O7" s="58" t="str">
        <f>+$F$7</f>
        <v>Modification Requested (Date: )</v>
      </c>
      <c r="P7" s="57" t="s">
        <v>77</v>
      </c>
      <c r="Q7" s="53"/>
    </row>
    <row r="8" spans="1:19" ht="37.950000000000003" customHeight="1" x14ac:dyDescent="0.3">
      <c r="A8" s="52"/>
      <c r="B8" s="484" t="s">
        <v>53</v>
      </c>
      <c r="C8" s="486" t="s">
        <v>52</v>
      </c>
      <c r="D8" s="59" t="s">
        <v>17</v>
      </c>
      <c r="E8" s="60">
        <f t="shared" ref="E8:E16" si="0">+H8+K8+N8</f>
        <v>728869500</v>
      </c>
      <c r="F8" s="61">
        <f t="shared" ref="F8:F16" si="1">+I8+L8+O8</f>
        <v>0</v>
      </c>
      <c r="G8" s="62">
        <f t="shared" ref="G8:G16" si="2">SUM(E8:F8)</f>
        <v>728869500</v>
      </c>
      <c r="H8" s="63">
        <f>+' III. FINAL BUDGET'!G7</f>
        <v>728869500</v>
      </c>
      <c r="I8" s="64"/>
      <c r="J8" s="65">
        <f t="shared" ref="J8:J13" si="3">SUM(H8:I8)</f>
        <v>728869500</v>
      </c>
      <c r="K8" s="63">
        <f>+' III. FINAL BUDGET'!H7</f>
        <v>0</v>
      </c>
      <c r="L8" s="66"/>
      <c r="M8" s="67">
        <f t="shared" ref="M8:M16" si="4">SUM(K8:L8)</f>
        <v>0</v>
      </c>
      <c r="N8" s="68"/>
      <c r="O8" s="69"/>
      <c r="P8" s="70"/>
      <c r="Q8" s="53"/>
      <c r="S8" s="71"/>
    </row>
    <row r="9" spans="1:19" ht="37.950000000000003" customHeight="1" x14ac:dyDescent="0.3">
      <c r="A9" s="52"/>
      <c r="B9" s="485"/>
      <c r="C9" s="487"/>
      <c r="D9" s="72" t="s">
        <v>97</v>
      </c>
      <c r="E9" s="73">
        <f t="shared" si="0"/>
        <v>0</v>
      </c>
      <c r="F9" s="74">
        <f t="shared" si="1"/>
        <v>0</v>
      </c>
      <c r="G9" s="75">
        <f t="shared" si="2"/>
        <v>0</v>
      </c>
      <c r="H9" s="63">
        <f>+' III. FINAL BUDGET'!G8</f>
        <v>0</v>
      </c>
      <c r="I9" s="76"/>
      <c r="J9" s="77">
        <f t="shared" si="3"/>
        <v>0</v>
      </c>
      <c r="K9" s="63">
        <f>+' III. FINAL BUDGET'!H8</f>
        <v>0</v>
      </c>
      <c r="L9" s="78"/>
      <c r="M9" s="79">
        <f t="shared" si="4"/>
        <v>0</v>
      </c>
      <c r="N9" s="80"/>
      <c r="O9" s="81"/>
      <c r="P9" s="82"/>
      <c r="Q9" s="53"/>
      <c r="S9" s="71"/>
    </row>
    <row r="10" spans="1:19" ht="37.950000000000003" customHeight="1" x14ac:dyDescent="0.3">
      <c r="A10" s="52"/>
      <c r="B10" s="485" t="s">
        <v>54</v>
      </c>
      <c r="C10" s="487" t="s">
        <v>55</v>
      </c>
      <c r="D10" s="72" t="s">
        <v>28</v>
      </c>
      <c r="E10" s="83">
        <f t="shared" si="0"/>
        <v>158573338</v>
      </c>
      <c r="F10" s="84">
        <f t="shared" si="1"/>
        <v>0</v>
      </c>
      <c r="G10" s="85">
        <f t="shared" si="2"/>
        <v>158573338</v>
      </c>
      <c r="H10" s="63">
        <f>+' III. FINAL BUDGET'!G9</f>
        <v>158573338</v>
      </c>
      <c r="I10" s="86"/>
      <c r="J10" s="87">
        <f t="shared" si="3"/>
        <v>158573338</v>
      </c>
      <c r="K10" s="63">
        <f>+' III. FINAL BUDGET'!H9</f>
        <v>0</v>
      </c>
      <c r="L10" s="88"/>
      <c r="M10" s="89">
        <f t="shared" si="4"/>
        <v>0</v>
      </c>
      <c r="N10" s="80"/>
      <c r="O10" s="81"/>
      <c r="P10" s="82"/>
      <c r="Q10" s="53"/>
      <c r="S10" s="90"/>
    </row>
    <row r="11" spans="1:19" ht="37.950000000000003" customHeight="1" x14ac:dyDescent="0.3">
      <c r="A11" s="52"/>
      <c r="B11" s="485"/>
      <c r="C11" s="487"/>
      <c r="D11" s="72" t="s">
        <v>29</v>
      </c>
      <c r="E11" s="83">
        <f t="shared" si="0"/>
        <v>54251090</v>
      </c>
      <c r="F11" s="84">
        <f t="shared" si="1"/>
        <v>0</v>
      </c>
      <c r="G11" s="85">
        <f t="shared" si="2"/>
        <v>54251090</v>
      </c>
      <c r="H11" s="63">
        <f>+' III. FINAL BUDGET'!G10</f>
        <v>39251090</v>
      </c>
      <c r="I11" s="86"/>
      <c r="J11" s="87">
        <f t="shared" si="3"/>
        <v>39251090</v>
      </c>
      <c r="K11" s="63">
        <f>+' III. FINAL BUDGET'!H10</f>
        <v>0</v>
      </c>
      <c r="L11" s="88"/>
      <c r="M11" s="89">
        <f t="shared" si="4"/>
        <v>0</v>
      </c>
      <c r="N11" s="91">
        <f>+' III. FINAL BUDGET'!I10</f>
        <v>15000000</v>
      </c>
      <c r="O11" s="88"/>
      <c r="P11" s="89">
        <f t="shared" ref="P11:P16" si="5">SUM(N11:O11)</f>
        <v>15000000</v>
      </c>
      <c r="Q11" s="53"/>
    </row>
    <row r="12" spans="1:19" ht="37.950000000000003" customHeight="1" x14ac:dyDescent="0.3">
      <c r="A12" s="52"/>
      <c r="B12" s="485"/>
      <c r="C12" s="487"/>
      <c r="D12" s="72" t="s">
        <v>30</v>
      </c>
      <c r="E12" s="83">
        <f t="shared" si="0"/>
        <v>12110000</v>
      </c>
      <c r="F12" s="84">
        <f t="shared" si="1"/>
        <v>0</v>
      </c>
      <c r="G12" s="85">
        <f t="shared" si="2"/>
        <v>12110000</v>
      </c>
      <c r="H12" s="63">
        <f>+' III. FINAL BUDGET'!G11</f>
        <v>12110000</v>
      </c>
      <c r="I12" s="86"/>
      <c r="J12" s="87">
        <f t="shared" si="3"/>
        <v>12110000</v>
      </c>
      <c r="K12" s="63">
        <f>+' III. FINAL BUDGET'!H11</f>
        <v>0</v>
      </c>
      <c r="L12" s="88"/>
      <c r="M12" s="89">
        <f t="shared" si="4"/>
        <v>0</v>
      </c>
      <c r="N12" s="91">
        <f>+' III. FINAL BUDGET'!I11</f>
        <v>0</v>
      </c>
      <c r="O12" s="88"/>
      <c r="P12" s="89">
        <f t="shared" si="5"/>
        <v>0</v>
      </c>
      <c r="Q12" s="53"/>
      <c r="R12" s="479" t="str">
        <f>IF(H12="","No puede tener celdas vacías",IF(H13="","No puede tener celdas vacías",IF(K12="","No puede tener celdas vacías",IF(K13="","No puede tener celdas vacías",IF(P11="","No puede tener celdas vacías",IF(P12="","No puede tener celdas vacías",IF(P13="","No puede tener celdas vacías","")))))))</f>
        <v/>
      </c>
      <c r="S12" s="479"/>
    </row>
    <row r="13" spans="1:19" ht="37.950000000000003" customHeight="1" x14ac:dyDescent="0.3">
      <c r="A13" s="52"/>
      <c r="B13" s="485"/>
      <c r="C13" s="487"/>
      <c r="D13" s="72" t="s">
        <v>32</v>
      </c>
      <c r="E13" s="92">
        <f t="shared" si="0"/>
        <v>94663135</v>
      </c>
      <c r="F13" s="93">
        <f t="shared" si="1"/>
        <v>0</v>
      </c>
      <c r="G13" s="94">
        <f>IF(SUM(E13:F13)=0,"Este Sub-ítem debe tener Presupuesto",SUM(E13:F13))</f>
        <v>94663135</v>
      </c>
      <c r="H13" s="63">
        <f>+' III. FINAL BUDGET'!G12</f>
        <v>11196000</v>
      </c>
      <c r="I13" s="86"/>
      <c r="J13" s="87">
        <f t="shared" si="3"/>
        <v>11196000</v>
      </c>
      <c r="K13" s="63">
        <f>+' III. FINAL BUDGET'!H12</f>
        <v>75862980</v>
      </c>
      <c r="L13" s="88"/>
      <c r="M13" s="89">
        <f t="shared" si="4"/>
        <v>75862980</v>
      </c>
      <c r="N13" s="91">
        <f>+' III. FINAL BUDGET'!I12</f>
        <v>7604155</v>
      </c>
      <c r="O13" s="88"/>
      <c r="P13" s="89">
        <f t="shared" si="5"/>
        <v>7604155</v>
      </c>
      <c r="Q13" s="53"/>
      <c r="R13" s="479"/>
      <c r="S13" s="479"/>
    </row>
    <row r="14" spans="1:19" ht="37.950000000000003" customHeight="1" x14ac:dyDescent="0.3">
      <c r="A14" s="52"/>
      <c r="B14" s="502" t="s">
        <v>56</v>
      </c>
      <c r="C14" s="487" t="s">
        <v>57</v>
      </c>
      <c r="D14" s="72" t="s">
        <v>98</v>
      </c>
      <c r="E14" s="95">
        <f t="shared" si="0"/>
        <v>20676000</v>
      </c>
      <c r="F14" s="96">
        <f t="shared" si="1"/>
        <v>0</v>
      </c>
      <c r="G14" s="97">
        <f t="shared" si="2"/>
        <v>20676000</v>
      </c>
      <c r="H14" s="98"/>
      <c r="I14" s="99"/>
      <c r="J14" s="100"/>
      <c r="K14" s="63">
        <f>+' III. FINAL BUDGET'!H13</f>
        <v>0</v>
      </c>
      <c r="L14" s="88"/>
      <c r="M14" s="89">
        <f t="shared" si="4"/>
        <v>0</v>
      </c>
      <c r="N14" s="91">
        <f>+' III. FINAL BUDGET'!I13</f>
        <v>20676000</v>
      </c>
      <c r="O14" s="88"/>
      <c r="P14" s="89">
        <f t="shared" si="5"/>
        <v>20676000</v>
      </c>
      <c r="Q14" s="53"/>
      <c r="R14" s="479" t="str">
        <f>IF(K14="","No puede tener celdas vacías",IF(K16="","No puede tener celdas vacías",IF(P14="","No puede tener celdas vacías",IF(P16="","No puede tener celdas vacías",""))))</f>
        <v/>
      </c>
      <c r="S14" s="479"/>
    </row>
    <row r="15" spans="1:19" ht="37.950000000000003" customHeight="1" x14ac:dyDescent="0.3">
      <c r="A15" s="52"/>
      <c r="B15" s="503"/>
      <c r="C15" s="505"/>
      <c r="D15" s="72" t="s">
        <v>33</v>
      </c>
      <c r="E15" s="83">
        <f t="shared" ref="E15" si="6">+H15+K15+N15</f>
        <v>214533768</v>
      </c>
      <c r="F15" s="84">
        <f t="shared" ref="F15" si="7">+I15+L15+O15</f>
        <v>0</v>
      </c>
      <c r="G15" s="85">
        <f t="shared" ref="G15" si="8">SUM(E15:F15)</f>
        <v>214533768</v>
      </c>
      <c r="H15" s="101"/>
      <c r="I15" s="102"/>
      <c r="J15" s="103"/>
      <c r="K15" s="63">
        <f>+' III. FINAL BUDGET'!H14</f>
        <v>81600000</v>
      </c>
      <c r="L15" s="88"/>
      <c r="M15" s="89">
        <f t="shared" ref="M15" si="9">SUM(K15:L15)</f>
        <v>81600000</v>
      </c>
      <c r="N15" s="91">
        <f>+' III. FINAL BUDGET'!I14</f>
        <v>132933768</v>
      </c>
      <c r="O15" s="88"/>
      <c r="P15" s="89">
        <f t="shared" si="5"/>
        <v>132933768</v>
      </c>
      <c r="Q15" s="53"/>
      <c r="R15" s="479"/>
      <c r="S15" s="479"/>
    </row>
    <row r="16" spans="1:19" ht="37.950000000000003" customHeight="1" thickBot="1" x14ac:dyDescent="0.35">
      <c r="A16" s="52"/>
      <c r="B16" s="504"/>
      <c r="C16" s="506"/>
      <c r="D16" s="104" t="s">
        <v>34</v>
      </c>
      <c r="E16" s="105">
        <f t="shared" si="0"/>
        <v>45300000</v>
      </c>
      <c r="F16" s="106">
        <f t="shared" si="1"/>
        <v>0</v>
      </c>
      <c r="G16" s="107">
        <f t="shared" si="2"/>
        <v>45300000</v>
      </c>
      <c r="H16" s="108"/>
      <c r="I16" s="109"/>
      <c r="J16" s="110"/>
      <c r="K16" s="63">
        <f>+' III. FINAL BUDGET'!H15</f>
        <v>0</v>
      </c>
      <c r="L16" s="111"/>
      <c r="M16" s="112">
        <f t="shared" si="4"/>
        <v>0</v>
      </c>
      <c r="N16" s="91">
        <f>+' III. FINAL BUDGET'!I15</f>
        <v>45300000</v>
      </c>
      <c r="O16" s="111"/>
      <c r="P16" s="112">
        <f t="shared" si="5"/>
        <v>45300000</v>
      </c>
      <c r="Q16" s="53"/>
      <c r="R16" s="479"/>
      <c r="S16" s="479"/>
    </row>
    <row r="17" spans="1:17" ht="37.950000000000003" customHeight="1" thickBot="1" x14ac:dyDescent="0.35">
      <c r="A17" s="51"/>
      <c r="B17" s="480"/>
      <c r="C17" s="481"/>
      <c r="D17" s="113" t="s">
        <v>59</v>
      </c>
      <c r="E17" s="114">
        <f t="shared" ref="E17:P17" si="10">SUM(E8:E16)</f>
        <v>1328976831</v>
      </c>
      <c r="F17" s="115">
        <f t="shared" si="10"/>
        <v>0</v>
      </c>
      <c r="G17" s="116">
        <f t="shared" si="10"/>
        <v>1328976831</v>
      </c>
      <c r="H17" s="114">
        <f t="shared" si="10"/>
        <v>949999928</v>
      </c>
      <c r="I17" s="115">
        <f t="shared" si="10"/>
        <v>0</v>
      </c>
      <c r="J17" s="116">
        <f t="shared" si="10"/>
        <v>949999928</v>
      </c>
      <c r="K17" s="114">
        <f t="shared" si="10"/>
        <v>157462980</v>
      </c>
      <c r="L17" s="117">
        <f t="shared" si="10"/>
        <v>0</v>
      </c>
      <c r="M17" s="116">
        <f t="shared" si="10"/>
        <v>157462980</v>
      </c>
      <c r="N17" s="118">
        <f t="shared" si="10"/>
        <v>221513923</v>
      </c>
      <c r="O17" s="117">
        <f t="shared" si="10"/>
        <v>0</v>
      </c>
      <c r="P17" s="116">
        <f t="shared" si="10"/>
        <v>221513923</v>
      </c>
      <c r="Q17" s="53"/>
    </row>
    <row r="18" spans="1:17" x14ac:dyDescent="0.3">
      <c r="A18" s="51"/>
      <c r="B18" s="51"/>
      <c r="C18" s="51"/>
      <c r="D18" s="119"/>
      <c r="E18" s="51"/>
      <c r="F18" s="51"/>
      <c r="G18" s="51"/>
      <c r="H18" s="120"/>
      <c r="I18" s="120"/>
      <c r="J18" s="120"/>
      <c r="K18" s="120"/>
      <c r="L18" s="120"/>
      <c r="M18" s="120"/>
      <c r="N18" s="120"/>
      <c r="O18" s="120"/>
      <c r="P18" s="51"/>
      <c r="Q18" s="51"/>
    </row>
    <row r="20" spans="1:17" ht="31.2" customHeight="1" x14ac:dyDescent="0.3">
      <c r="J20" s="121" t="str">
        <f>UPPER(J7)</f>
        <v>MODIFIED BUDGET</v>
      </c>
    </row>
    <row r="21" spans="1:17" ht="22.2" customHeight="1" x14ac:dyDescent="0.3">
      <c r="H21" s="122" t="s">
        <v>37</v>
      </c>
      <c r="I21" s="123"/>
      <c r="J21" s="124">
        <f>SUM($J$8:$J$9)</f>
        <v>728869500</v>
      </c>
    </row>
    <row r="22" spans="1:17" ht="22.2" customHeight="1" x14ac:dyDescent="0.3">
      <c r="H22" s="122" t="s">
        <v>78</v>
      </c>
      <c r="I22" s="123"/>
      <c r="J22" s="124">
        <f>SUM($J$10:$J$13)</f>
        <v>221130428</v>
      </c>
    </row>
    <row r="23" spans="1:17" ht="22.2" customHeight="1" x14ac:dyDescent="0.3">
      <c r="H23" s="123" t="s">
        <v>43</v>
      </c>
      <c r="I23" s="123"/>
      <c r="J23" s="125">
        <f>+IF(J21&gt;0,J22/J21,0)</f>
        <v>0.30338823067778253</v>
      </c>
    </row>
    <row r="26" spans="1:17" s="126" customFormat="1" ht="22.2" customHeight="1" x14ac:dyDescent="0.3">
      <c r="E26" s="127"/>
      <c r="G26" s="12"/>
      <c r="H26" s="122" t="s">
        <v>37</v>
      </c>
      <c r="I26" s="123"/>
      <c r="J26" s="124">
        <f>SUM($G$8:$G$9)</f>
        <v>728869500</v>
      </c>
    </row>
    <row r="27" spans="1:17" s="126" customFormat="1" ht="22.2" customHeight="1" x14ac:dyDescent="0.3">
      <c r="E27" s="127"/>
      <c r="G27" s="12"/>
      <c r="H27" s="488" t="s">
        <v>79</v>
      </c>
      <c r="I27" s="489"/>
      <c r="J27" s="124">
        <f>SUM($M$8:$M$9)+SUM($M$14:$M$15)</f>
        <v>81600000</v>
      </c>
      <c r="K27" s="125">
        <f>+IF($J$26&gt;0,J27/$J$26,0)</f>
        <v>0.11195419756211503</v>
      </c>
      <c r="L27" s="126" t="str">
        <f>IF(K27&lt;10%,"El Mínimo debe ser 10%","OK")</f>
        <v>OK</v>
      </c>
    </row>
    <row r="28" spans="1:17" s="126" customFormat="1" ht="22.2" customHeight="1" x14ac:dyDescent="0.3">
      <c r="G28" s="12"/>
      <c r="H28" s="122" t="s">
        <v>80</v>
      </c>
      <c r="I28" s="123"/>
      <c r="J28" s="124">
        <f>+M17</f>
        <v>157462980</v>
      </c>
      <c r="K28" s="125">
        <f>+IF($J$26&gt;0,J28/$J$26,0)</f>
        <v>0.21603727416224716</v>
      </c>
    </row>
    <row r="29" spans="1:17" s="126" customFormat="1" ht="22.2" customHeight="1" x14ac:dyDescent="0.3">
      <c r="E29" s="127"/>
      <c r="G29" s="12"/>
      <c r="H29" s="122" t="s">
        <v>81</v>
      </c>
      <c r="I29" s="123"/>
      <c r="J29" s="124">
        <f>+P17</f>
        <v>221513923</v>
      </c>
      <c r="K29" s="125">
        <f>+IF($J$26&gt;0,J29/$J$26,0)</f>
        <v>0.30391438110663155</v>
      </c>
    </row>
    <row r="30" spans="1:17" s="126" customFormat="1" ht="22.2" customHeight="1" x14ac:dyDescent="0.3">
      <c r="E30" s="127"/>
      <c r="G30" s="12"/>
      <c r="H30" s="128" t="s">
        <v>82</v>
      </c>
      <c r="I30" s="129"/>
      <c r="J30" s="124">
        <f>SUM(J28:J29)</f>
        <v>378976903</v>
      </c>
      <c r="K30" s="125">
        <f>+IF($J$26&gt;0,J30/$J$26,0)</f>
        <v>0.51995165526887877</v>
      </c>
      <c r="L30" s="126" t="str">
        <f>IF(K30&lt;50%,"El Mínimo debe ser 50%","OK")</f>
        <v>OK</v>
      </c>
    </row>
  </sheetData>
  <sheetProtection selectLockedCells="1"/>
  <mergeCells count="18">
    <mergeCell ref="H27:I27"/>
    <mergeCell ref="B2:P2"/>
    <mergeCell ref="B3:P3"/>
    <mergeCell ref="B4:P4"/>
    <mergeCell ref="B6:D6"/>
    <mergeCell ref="E6:G6"/>
    <mergeCell ref="H6:J6"/>
    <mergeCell ref="K6:P6"/>
    <mergeCell ref="B14:B16"/>
    <mergeCell ref="C14:C16"/>
    <mergeCell ref="R14:S16"/>
    <mergeCell ref="B17:C17"/>
    <mergeCell ref="B7:C7"/>
    <mergeCell ref="B8:B9"/>
    <mergeCell ref="C8:C9"/>
    <mergeCell ref="B10:B13"/>
    <mergeCell ref="C10:C13"/>
    <mergeCell ref="R12:S13"/>
  </mergeCells>
  <conditionalFormatting sqref="E13">
    <cfRule type="containsText" dxfId="48" priority="34" operator="containsText" text="Este Sub Item">
      <formula>NOT(ISERROR(SEARCH("Este Sub Item",E13)))</formula>
    </cfRule>
    <cfRule type="containsText" dxfId="47" priority="35" operator="containsText" text="Este Item debe">
      <formula>NOT(ISERROR(SEARCH("Este Item debe",E13)))</formula>
    </cfRule>
  </conditionalFormatting>
  <conditionalFormatting sqref="E8:G9">
    <cfRule type="containsText" dxfId="46" priority="15" operator="containsText" text="Monto Excede">
      <formula>NOT(ISERROR(SEARCH("Monto Excede",E8)))</formula>
    </cfRule>
    <cfRule type="containsText" dxfId="45" priority="16" operator="containsText" text="M$50.000">
      <formula>NOT(ISERROR(SEARCH("M$50.000",E8)))</formula>
    </cfRule>
  </conditionalFormatting>
  <conditionalFormatting sqref="F13:G13">
    <cfRule type="containsText" dxfId="44" priority="17" operator="containsText" text="Este Sub-ítem">
      <formula>NOT(ISERROR(SEARCH("Este Sub-ítem",F13)))</formula>
    </cfRule>
  </conditionalFormatting>
  <conditionalFormatting sqref="H17:J17">
    <cfRule type="cellIs" dxfId="43" priority="39" operator="greaterThan">
      <formula>950000000</formula>
    </cfRule>
  </conditionalFormatting>
  <conditionalFormatting sqref="J23">
    <cfRule type="cellIs" dxfId="42" priority="13" stopIfTrue="1" operator="greaterThan">
      <formula>0.5</formula>
    </cfRule>
  </conditionalFormatting>
  <conditionalFormatting sqref="K27">
    <cfRule type="cellIs" dxfId="41" priority="4" stopIfTrue="1" operator="lessThan">
      <formula>0.1</formula>
    </cfRule>
  </conditionalFormatting>
  <conditionalFormatting sqref="K30">
    <cfRule type="cellIs" dxfId="40" priority="3" stopIfTrue="1" operator="lessThan">
      <formula>0.5</formula>
    </cfRule>
  </conditionalFormatting>
  <conditionalFormatting sqref="K17:O17">
    <cfRule type="containsText" dxfId="39" priority="21" operator="containsText" text="Debe ser">
      <formula>NOT(ISERROR(SEARCH("Debe ser",K17)))</formula>
    </cfRule>
  </conditionalFormatting>
  <conditionalFormatting sqref="L27">
    <cfRule type="containsText" dxfId="38" priority="2" stopIfTrue="1" operator="containsText" text="El Mínimo debe ser 10%">
      <formula>NOT(ISERROR(SEARCH("El Mínimo debe ser 10%",L27)))</formula>
    </cfRule>
  </conditionalFormatting>
  <conditionalFormatting sqref="L30">
    <cfRule type="containsText" dxfId="37" priority="6" stopIfTrue="1" operator="containsText" text="El Mínimo debe ser 50%">
      <formula>NOT(ISERROR(SEARCH("El Mínimo debe ser 50%",L30)))</formula>
    </cfRule>
    <cfRule type="containsText" dxfId="36" priority="7" stopIfTrue="1" operator="containsText" text="El mímo debe ser 50%">
      <formula>NOT(ISERROR(SEARCH("El mímo debe ser 50%",L30)))</formula>
    </cfRule>
  </conditionalFormatting>
  <conditionalFormatting sqref="P17">
    <cfRule type="containsText" dxfId="35" priority="38" operator="containsText" text="50%">
      <formula>NOT(ISERROR(SEARCH("50%",P17)))</formula>
    </cfRule>
  </conditionalFormatting>
  <conditionalFormatting sqref="R12">
    <cfRule type="containsText" dxfId="34" priority="24" stopIfTrue="1" operator="containsText" text="Monto Item Equipamiento OK">
      <formula>NOT(ISERROR(SEARCH("Monto Item Equipamiento OK",R12)))</formula>
    </cfRule>
    <cfRule type="containsText" dxfId="33" priority="25" operator="containsText" text="$50.000.000">
      <formula>NOT(ISERROR(SEARCH("$50.000.000",R12)))</formula>
    </cfRule>
    <cfRule type="containsText" dxfId="32" priority="26" operator="containsText" text="Excede">
      <formula>NOT(ISERROR(SEARCH("Excede",R12)))</formula>
    </cfRule>
    <cfRule type="containsText" dxfId="31" priority="27" operator="containsText" text="M$50.000">
      <formula>NOT(ISERROR(SEARCH("M$50.000",R12)))</formula>
    </cfRule>
  </conditionalFormatting>
  <conditionalFormatting sqref="R14">
    <cfRule type="containsText" dxfId="30" priority="28" operator="containsText" text="$50.000.000">
      <formula>NOT(ISERROR(SEARCH("$50.000.000",R14)))</formula>
    </cfRule>
    <cfRule type="containsText" dxfId="29" priority="29" operator="containsText" text="Excede">
      <formula>NOT(ISERROR(SEARCH("Excede",R14)))</formula>
    </cfRule>
    <cfRule type="containsText" dxfId="28" priority="30" operator="containsText" text="M$50.000">
      <formula>NOT(ISERROR(SEARCH("M$50.000",R14)))</formula>
    </cfRule>
    <cfRule type="containsText" dxfId="27" priority="31" stopIfTrue="1" operator="containsText" text="Monto Item Equipamiento OK">
      <formula>NOT(ISERROR(SEARCH("Monto Item Equipamiento OK",R14)))</formula>
    </cfRule>
  </conditionalFormatting>
  <conditionalFormatting sqref="R12:S13">
    <cfRule type="containsText" dxfId="26" priority="23" stopIfTrue="1" operator="containsText" text="No puede tener">
      <formula>NOT(ISERROR(SEARCH("No puede tener",R12)))</formula>
    </cfRule>
  </conditionalFormatting>
  <conditionalFormatting sqref="R14:S16">
    <cfRule type="containsText" dxfId="25" priority="1" stopIfTrue="1" operator="containsText" text="No puede tener">
      <formula>NOT(ISERROR(SEARCH("No puede tener",R14)))</formula>
    </cfRule>
  </conditionalFormatting>
  <printOptions horizontalCentered="1"/>
  <pageMargins left="0" right="0" top="0.78740157480314965" bottom="0.78740157480314965" header="0" footer="0.59055118110236227"/>
  <pageSetup paperSize="5" scale="70" orientation="landscape" r:id="rId1"/>
  <headerFooter alignWithMargins="0">
    <oddFooter>&amp;L&amp;A - &amp;F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rgb="FF002060"/>
  </sheetPr>
  <dimension ref="A1:U29"/>
  <sheetViews>
    <sheetView showGridLines="0" topLeftCell="A2" zoomScale="90" zoomScaleNormal="90" workbookViewId="0">
      <pane xSplit="4" ySplit="6" topLeftCell="E8" activePane="bottomRight" state="frozen"/>
      <selection pane="topRight" activeCell="E2" sqref="E2"/>
      <selection pane="bottomLeft" activeCell="A8" sqref="A8"/>
      <selection pane="bottomRight" activeCell="B2" sqref="B2:P2"/>
    </sheetView>
  </sheetViews>
  <sheetFormatPr baseColWidth="10" defaultColWidth="11.44140625" defaultRowHeight="12" x14ac:dyDescent="0.3"/>
  <cols>
    <col min="1" max="1" width="3" style="12" customWidth="1"/>
    <col min="2" max="2" width="3.88671875" style="12" customWidth="1"/>
    <col min="3" max="3" width="13.88671875" style="12" customWidth="1"/>
    <col min="4" max="4" width="32.6640625" style="12" customWidth="1"/>
    <col min="5" max="16" width="15.44140625" style="12" customWidth="1"/>
    <col min="17" max="17" width="3.44140625" style="12" customWidth="1"/>
    <col min="18" max="18" width="12.6640625" style="12" customWidth="1"/>
    <col min="19" max="19" width="17.44140625" style="12" customWidth="1"/>
    <col min="20" max="20" width="20.44140625" style="12" customWidth="1"/>
    <col min="21" max="21" width="16.5546875" style="12" hidden="1" customWidth="1"/>
    <col min="22" max="22" width="9.44140625" style="12" customWidth="1"/>
    <col min="23" max="16384" width="11.44140625" style="12"/>
  </cols>
  <sheetData>
    <row r="1" spans="1:19" ht="9" customHeight="1" x14ac:dyDescent="0.3">
      <c r="A1" s="51"/>
      <c r="B1" s="51"/>
      <c r="C1" s="51"/>
      <c r="D1" s="51"/>
      <c r="E1" s="51"/>
      <c r="F1" s="51"/>
      <c r="G1" s="51"/>
      <c r="H1" s="51"/>
      <c r="I1" s="51"/>
      <c r="J1" s="51"/>
      <c r="K1" s="51"/>
      <c r="L1" s="51"/>
      <c r="M1" s="51"/>
      <c r="N1" s="51"/>
      <c r="O1" s="51"/>
      <c r="P1" s="51"/>
      <c r="Q1" s="51"/>
    </row>
    <row r="2" spans="1:19" ht="28.5" customHeight="1" x14ac:dyDescent="0.3">
      <c r="A2" s="51"/>
      <c r="B2" s="490" t="s">
        <v>83</v>
      </c>
      <c r="C2" s="490"/>
      <c r="D2" s="490"/>
      <c r="E2" s="490"/>
      <c r="F2" s="490"/>
      <c r="G2" s="490"/>
      <c r="H2" s="490"/>
      <c r="I2" s="490"/>
      <c r="J2" s="490"/>
      <c r="K2" s="490"/>
      <c r="L2" s="490"/>
      <c r="M2" s="490"/>
      <c r="N2" s="490"/>
      <c r="O2" s="490"/>
      <c r="P2" s="490"/>
      <c r="Q2" s="51"/>
    </row>
    <row r="3" spans="1:19" ht="12" hidden="1" customHeight="1" x14ac:dyDescent="0.3">
      <c r="A3" s="51"/>
      <c r="B3" s="491"/>
      <c r="C3" s="491"/>
      <c r="D3" s="491"/>
      <c r="E3" s="491"/>
      <c r="F3" s="491"/>
      <c r="G3" s="491"/>
      <c r="H3" s="491"/>
      <c r="I3" s="491"/>
      <c r="J3" s="491"/>
      <c r="K3" s="491"/>
      <c r="L3" s="491"/>
      <c r="M3" s="491"/>
      <c r="N3" s="491"/>
      <c r="O3" s="491"/>
      <c r="P3" s="491"/>
      <c r="Q3" s="51"/>
    </row>
    <row r="4" spans="1:19" ht="9" customHeight="1" thickBot="1" x14ac:dyDescent="0.35">
      <c r="A4" s="51"/>
      <c r="B4" s="492"/>
      <c r="C4" s="493"/>
      <c r="D4" s="493"/>
      <c r="E4" s="493"/>
      <c r="F4" s="493"/>
      <c r="G4" s="493"/>
      <c r="H4" s="493"/>
      <c r="I4" s="493"/>
      <c r="J4" s="493"/>
      <c r="K4" s="493"/>
      <c r="L4" s="493"/>
      <c r="M4" s="493"/>
      <c r="N4" s="493"/>
      <c r="O4" s="493"/>
      <c r="P4" s="493"/>
      <c r="Q4" s="51"/>
    </row>
    <row r="5" spans="1:19" ht="13.5" hidden="1" customHeight="1" thickBot="1" x14ac:dyDescent="0.35">
      <c r="A5" s="51"/>
      <c r="B5" s="51"/>
      <c r="C5" s="51"/>
      <c r="D5" s="51"/>
      <c r="E5" s="51"/>
      <c r="F5" s="51"/>
      <c r="G5" s="51"/>
      <c r="H5" s="51"/>
      <c r="I5" s="51"/>
      <c r="J5" s="51"/>
      <c r="K5" s="51"/>
      <c r="L5" s="51"/>
      <c r="M5" s="51"/>
      <c r="N5" s="51"/>
      <c r="O5" s="51"/>
      <c r="P5" s="52"/>
      <c r="Q5" s="51"/>
    </row>
    <row r="6" spans="1:19" ht="25.5" customHeight="1" thickBot="1" x14ac:dyDescent="0.35">
      <c r="A6" s="51"/>
      <c r="B6" s="494"/>
      <c r="C6" s="494"/>
      <c r="D6" s="495"/>
      <c r="E6" s="496" t="s">
        <v>45</v>
      </c>
      <c r="F6" s="497"/>
      <c r="G6" s="498"/>
      <c r="H6" s="496" t="s">
        <v>84</v>
      </c>
      <c r="I6" s="497"/>
      <c r="J6" s="498"/>
      <c r="K6" s="499" t="s">
        <v>47</v>
      </c>
      <c r="L6" s="500"/>
      <c r="M6" s="500"/>
      <c r="N6" s="500"/>
      <c r="O6" s="500"/>
      <c r="P6" s="501"/>
      <c r="Q6" s="53"/>
    </row>
    <row r="7" spans="1:19" ht="37.950000000000003" customHeight="1" thickBot="1" x14ac:dyDescent="0.35">
      <c r="A7" s="52"/>
      <c r="B7" s="482" t="s">
        <v>49</v>
      </c>
      <c r="C7" s="483"/>
      <c r="D7" s="54" t="s">
        <v>50</v>
      </c>
      <c r="E7" s="55" t="s">
        <v>73</v>
      </c>
      <c r="F7" s="58" t="s">
        <v>85</v>
      </c>
      <c r="G7" s="57" t="s">
        <v>86</v>
      </c>
      <c r="H7" s="55" t="s">
        <v>73</v>
      </c>
      <c r="I7" s="58" t="s">
        <v>85</v>
      </c>
      <c r="J7" s="57" t="s">
        <v>86</v>
      </c>
      <c r="K7" s="55" t="s">
        <v>75</v>
      </c>
      <c r="L7" s="58" t="s">
        <v>85</v>
      </c>
      <c r="M7" s="57" t="s">
        <v>86</v>
      </c>
      <c r="N7" s="55" t="s">
        <v>77</v>
      </c>
      <c r="O7" s="54" t="s">
        <v>85</v>
      </c>
      <c r="P7" s="57" t="s">
        <v>86</v>
      </c>
      <c r="Q7" s="53"/>
    </row>
    <row r="8" spans="1:19" ht="37.950000000000003" customHeight="1" x14ac:dyDescent="0.3">
      <c r="A8" s="52"/>
      <c r="B8" s="484" t="s">
        <v>53</v>
      </c>
      <c r="C8" s="486" t="s">
        <v>52</v>
      </c>
      <c r="D8" s="59" t="s">
        <v>17</v>
      </c>
      <c r="E8" s="60">
        <f t="shared" ref="E8:E16" si="0">+H8+K8+N8</f>
        <v>728869500</v>
      </c>
      <c r="F8" s="61">
        <f t="shared" ref="F8:F16" si="1">+I8+L8+O8</f>
        <v>0</v>
      </c>
      <c r="G8" s="62">
        <f t="shared" ref="G8:G16" si="2">+J8+M8+P8</f>
        <v>728869500</v>
      </c>
      <c r="H8" s="63">
        <f>+'PRESUPUESTO MODIFICADO'!J8</f>
        <v>728869500</v>
      </c>
      <c r="I8" s="64">
        <f>SUMIF('Uso Interno DESGLOSE FACTURAS'!$A$4:$A$10,SALDOS!$D8,'Uso Interno DESGLOSE FACTURAS'!U4:$U$10)</f>
        <v>0</v>
      </c>
      <c r="J8" s="65">
        <f t="shared" ref="J8:J13" si="3">+H8-I8</f>
        <v>728869500</v>
      </c>
      <c r="K8" s="63">
        <f>+'PRESUPUESTO MODIFICADO'!M8</f>
        <v>0</v>
      </c>
      <c r="L8" s="64">
        <f>SUMIF('Uso Interno DESGLOSE FACTURAS'!$A$4:$A$10,SALDOS!$D8,'Uso Interno DESGLOSE FACTURAS'!$V4:V$10)</f>
        <v>0</v>
      </c>
      <c r="M8" s="67">
        <f t="shared" ref="M8:M16" si="4">+K8-L8</f>
        <v>0</v>
      </c>
      <c r="N8" s="68"/>
      <c r="O8" s="69"/>
      <c r="P8" s="70"/>
      <c r="Q8" s="53"/>
      <c r="S8" s="71"/>
    </row>
    <row r="9" spans="1:19" ht="37.950000000000003" customHeight="1" x14ac:dyDescent="0.3">
      <c r="A9" s="52"/>
      <c r="B9" s="485"/>
      <c r="C9" s="487"/>
      <c r="D9" s="72" t="s">
        <v>97</v>
      </c>
      <c r="E9" s="73">
        <f t="shared" si="0"/>
        <v>0</v>
      </c>
      <c r="F9" s="74">
        <f t="shared" ca="1" si="1"/>
        <v>0</v>
      </c>
      <c r="G9" s="75">
        <f t="shared" ca="1" si="2"/>
        <v>0</v>
      </c>
      <c r="H9" s="63">
        <f>+'PRESUPUESTO MODIFICADO'!J9</f>
        <v>0</v>
      </c>
      <c r="I9" s="64">
        <f ca="1">SUMIF('Uso Interno DESGLOSE FACTURAS'!$A$4:$A$10,SALDOS!$D9,'Uso Interno DESGLOSE FACTURAS'!U5:$U$10)</f>
        <v>0</v>
      </c>
      <c r="J9" s="77">
        <f t="shared" ca="1" si="3"/>
        <v>0</v>
      </c>
      <c r="K9" s="63">
        <f>+'PRESUPUESTO MODIFICADO'!M9</f>
        <v>0</v>
      </c>
      <c r="L9" s="64">
        <f ca="1">SUMIF('Uso Interno DESGLOSE FACTURAS'!$A$4:$A$10,SALDOS!$D9,'Uso Interno DESGLOSE FACTURAS'!$V5:V$10)</f>
        <v>0</v>
      </c>
      <c r="M9" s="79">
        <f t="shared" ca="1" si="4"/>
        <v>0</v>
      </c>
      <c r="N9" s="80"/>
      <c r="O9" s="81"/>
      <c r="P9" s="82"/>
      <c r="Q9" s="53"/>
      <c r="S9" s="71"/>
    </row>
    <row r="10" spans="1:19" ht="37.950000000000003" customHeight="1" x14ac:dyDescent="0.3">
      <c r="A10" s="52"/>
      <c r="B10" s="485" t="s">
        <v>54</v>
      </c>
      <c r="C10" s="487" t="s">
        <v>55</v>
      </c>
      <c r="D10" s="72" t="s">
        <v>28</v>
      </c>
      <c r="E10" s="83">
        <f t="shared" si="0"/>
        <v>158573338</v>
      </c>
      <c r="F10" s="84">
        <f t="shared" ca="1" si="1"/>
        <v>0</v>
      </c>
      <c r="G10" s="85">
        <f t="shared" ca="1" si="2"/>
        <v>158573338</v>
      </c>
      <c r="H10" s="63">
        <f>+'PRESUPUESTO MODIFICADO'!J10</f>
        <v>158573338</v>
      </c>
      <c r="I10" s="64">
        <f ca="1">SUMIF('Uso Interno DESGLOSE FACTURAS'!$A$4:$A$10,SALDOS!$D10,'Uso Interno DESGLOSE FACTURAS'!U6:$U$10)</f>
        <v>0</v>
      </c>
      <c r="J10" s="87">
        <f t="shared" ca="1" si="3"/>
        <v>158573338</v>
      </c>
      <c r="K10" s="63">
        <f>+'PRESUPUESTO MODIFICADO'!M10</f>
        <v>0</v>
      </c>
      <c r="L10" s="64">
        <f ca="1">SUMIF('Uso Interno DESGLOSE FACTURAS'!$A$4:$A$10,SALDOS!$D10,'Uso Interno DESGLOSE FACTURAS'!$V6:V$10)</f>
        <v>0</v>
      </c>
      <c r="M10" s="89">
        <f t="shared" ca="1" si="4"/>
        <v>0</v>
      </c>
      <c r="N10" s="80"/>
      <c r="O10" s="81"/>
      <c r="P10" s="82"/>
      <c r="Q10" s="53"/>
      <c r="S10" s="90"/>
    </row>
    <row r="11" spans="1:19" ht="37.950000000000003" customHeight="1" x14ac:dyDescent="0.3">
      <c r="A11" s="52"/>
      <c r="B11" s="485"/>
      <c r="C11" s="487"/>
      <c r="D11" s="72" t="s">
        <v>29</v>
      </c>
      <c r="E11" s="83">
        <f t="shared" si="0"/>
        <v>54251090</v>
      </c>
      <c r="F11" s="84">
        <f t="shared" ca="1" si="1"/>
        <v>0</v>
      </c>
      <c r="G11" s="85">
        <f t="shared" ca="1" si="2"/>
        <v>54251090</v>
      </c>
      <c r="H11" s="63">
        <f>+'PRESUPUESTO MODIFICADO'!J11</f>
        <v>39251090</v>
      </c>
      <c r="I11" s="64">
        <f ca="1">SUMIF('Uso Interno DESGLOSE FACTURAS'!$A$4:$A$10,SALDOS!$D11,'Uso Interno DESGLOSE FACTURAS'!U7:$U$10)</f>
        <v>0</v>
      </c>
      <c r="J11" s="87">
        <f t="shared" ca="1" si="3"/>
        <v>39251090</v>
      </c>
      <c r="K11" s="63">
        <f>+'PRESUPUESTO MODIFICADO'!M11</f>
        <v>0</v>
      </c>
      <c r="L11" s="64">
        <f ca="1">SUMIF('Uso Interno DESGLOSE FACTURAS'!$A$4:$A$10,SALDOS!$D11,'Uso Interno DESGLOSE FACTURAS'!$V7:V$10)</f>
        <v>0</v>
      </c>
      <c r="M11" s="89">
        <f t="shared" ca="1" si="4"/>
        <v>0</v>
      </c>
      <c r="N11" s="91">
        <f>+'PRESUPUESTO MODIFICADO'!P11</f>
        <v>15000000</v>
      </c>
      <c r="O11" s="88"/>
      <c r="P11" s="89">
        <f t="shared" ref="P11:P16" si="5">+N11-O11</f>
        <v>15000000</v>
      </c>
      <c r="Q11" s="53"/>
    </row>
    <row r="12" spans="1:19" ht="37.950000000000003" customHeight="1" x14ac:dyDescent="0.3">
      <c r="A12" s="52"/>
      <c r="B12" s="485"/>
      <c r="C12" s="487"/>
      <c r="D12" s="72" t="s">
        <v>30</v>
      </c>
      <c r="E12" s="83">
        <f t="shared" si="0"/>
        <v>12110000</v>
      </c>
      <c r="F12" s="84">
        <f t="shared" ca="1" si="1"/>
        <v>0</v>
      </c>
      <c r="G12" s="85">
        <f t="shared" ca="1" si="2"/>
        <v>12110000</v>
      </c>
      <c r="H12" s="63">
        <f>+'PRESUPUESTO MODIFICADO'!J12</f>
        <v>12110000</v>
      </c>
      <c r="I12" s="64">
        <f ca="1">SUMIF('Uso Interno DESGLOSE FACTURAS'!$A$4:$A$10,SALDOS!$D12,'Uso Interno DESGLOSE FACTURAS'!U8:$U$10)</f>
        <v>0</v>
      </c>
      <c r="J12" s="87">
        <f t="shared" ca="1" si="3"/>
        <v>12110000</v>
      </c>
      <c r="K12" s="63">
        <f>+'PRESUPUESTO MODIFICADO'!M12</f>
        <v>0</v>
      </c>
      <c r="L12" s="64">
        <f ca="1">SUMIF('Uso Interno DESGLOSE FACTURAS'!$A$4:$A$10,SALDOS!$D12,'Uso Interno DESGLOSE FACTURAS'!$V8:V$10)</f>
        <v>0</v>
      </c>
      <c r="M12" s="89">
        <f t="shared" ca="1" si="4"/>
        <v>0</v>
      </c>
      <c r="N12" s="91">
        <f>+'PRESUPUESTO MODIFICADO'!P12</f>
        <v>0</v>
      </c>
      <c r="O12" s="88"/>
      <c r="P12" s="89">
        <f t="shared" si="5"/>
        <v>0</v>
      </c>
      <c r="Q12" s="53"/>
      <c r="R12" s="292"/>
      <c r="S12" s="292"/>
    </row>
    <row r="13" spans="1:19" ht="37.950000000000003" customHeight="1" x14ac:dyDescent="0.3">
      <c r="A13" s="52"/>
      <c r="B13" s="485"/>
      <c r="C13" s="487"/>
      <c r="D13" s="72" t="s">
        <v>32</v>
      </c>
      <c r="E13" s="92">
        <f t="shared" si="0"/>
        <v>94663135</v>
      </c>
      <c r="F13" s="293" t="str">
        <f ca="1">IF(SUM(I13+L13+O13)=0,"Este Sub-ítem debe tener Presupuesto",SUM(I13+L13+O13))</f>
        <v>Este Sub-ítem debe tener Presupuesto</v>
      </c>
      <c r="G13" s="94">
        <f ca="1">+J13+M13+P13</f>
        <v>94663135</v>
      </c>
      <c r="H13" s="63">
        <f>+'PRESUPUESTO MODIFICADO'!J13</f>
        <v>11196000</v>
      </c>
      <c r="I13" s="64">
        <f ca="1">SUMIF('Uso Interno DESGLOSE FACTURAS'!$A$4:$A$10,SALDOS!$D13,'Uso Interno DESGLOSE FACTURAS'!U9:$U$10)</f>
        <v>0</v>
      </c>
      <c r="J13" s="87">
        <f t="shared" ca="1" si="3"/>
        <v>11196000</v>
      </c>
      <c r="K13" s="63">
        <f>+'PRESUPUESTO MODIFICADO'!M13</f>
        <v>75862980</v>
      </c>
      <c r="L13" s="64">
        <f ca="1">SUMIF('Uso Interno DESGLOSE FACTURAS'!$A$4:$A$10,SALDOS!$D13,'Uso Interno DESGLOSE FACTURAS'!$V9:V$10)</f>
        <v>0</v>
      </c>
      <c r="M13" s="89">
        <f t="shared" ca="1" si="4"/>
        <v>75862980</v>
      </c>
      <c r="N13" s="91">
        <f>+'PRESUPUESTO MODIFICADO'!P13</f>
        <v>7604155</v>
      </c>
      <c r="O13" s="88"/>
      <c r="P13" s="89">
        <f t="shared" si="5"/>
        <v>7604155</v>
      </c>
      <c r="Q13" s="53"/>
      <c r="R13" s="292"/>
      <c r="S13" s="292"/>
    </row>
    <row r="14" spans="1:19" ht="37.950000000000003" customHeight="1" x14ac:dyDescent="0.3">
      <c r="A14" s="52"/>
      <c r="B14" s="502" t="s">
        <v>56</v>
      </c>
      <c r="C14" s="487" t="s">
        <v>57</v>
      </c>
      <c r="D14" s="72" t="s">
        <v>98</v>
      </c>
      <c r="E14" s="95">
        <f t="shared" si="0"/>
        <v>20676000</v>
      </c>
      <c r="F14" s="96">
        <f t="shared" ca="1" si="1"/>
        <v>0</v>
      </c>
      <c r="G14" s="97">
        <f t="shared" ca="1" si="2"/>
        <v>20676000</v>
      </c>
      <c r="H14" s="98"/>
      <c r="I14" s="99"/>
      <c r="J14" s="100"/>
      <c r="K14" s="63">
        <f>+'PRESUPUESTO MODIFICADO'!M14</f>
        <v>0</v>
      </c>
      <c r="L14" s="88">
        <f ca="1">SUMIF('Uso Interno DESGLOSE FACTURAS'!$A$4:$A$10,SALDOS!$D14,'Uso Interno DESGLOSE FACTURAS'!$V10:V$10)</f>
        <v>0</v>
      </c>
      <c r="M14" s="89">
        <f t="shared" ca="1" si="4"/>
        <v>0</v>
      </c>
      <c r="N14" s="91">
        <f>+'PRESUPUESTO MODIFICADO'!P14</f>
        <v>20676000</v>
      </c>
      <c r="O14" s="88"/>
      <c r="P14" s="89">
        <f t="shared" si="5"/>
        <v>20676000</v>
      </c>
      <c r="Q14" s="53"/>
      <c r="R14" s="292"/>
      <c r="S14" s="292"/>
    </row>
    <row r="15" spans="1:19" ht="37.950000000000003" customHeight="1" x14ac:dyDescent="0.3">
      <c r="A15" s="52"/>
      <c r="B15" s="503"/>
      <c r="C15" s="505"/>
      <c r="D15" s="72" t="s">
        <v>33</v>
      </c>
      <c r="E15" s="105">
        <f t="shared" ref="E15" si="6">+H15+K15+N15</f>
        <v>214533768</v>
      </c>
      <c r="F15" s="106">
        <f t="shared" ref="F15" ca="1" si="7">+I15+L15+O15</f>
        <v>0</v>
      </c>
      <c r="G15" s="107">
        <f t="shared" ref="G15" ca="1" si="8">+J15+M15+P15</f>
        <v>214533768</v>
      </c>
      <c r="H15" s="130"/>
      <c r="I15" s="131"/>
      <c r="J15" s="132"/>
      <c r="K15" s="63">
        <f>+'PRESUPUESTO MODIFICADO'!M15</f>
        <v>81600000</v>
      </c>
      <c r="L15" s="88">
        <f ca="1">SUMIF('Uso Interno DESGLOSE FACTURAS'!$A$4:$A$10,SALDOS!$D15,'Uso Interno DESGLOSE FACTURAS'!$V$10:V11)</f>
        <v>0</v>
      </c>
      <c r="M15" s="89">
        <f t="shared" ref="M15" ca="1" si="9">+K15-L15</f>
        <v>81600000</v>
      </c>
      <c r="N15" s="91">
        <f>+'PRESUPUESTO MODIFICADO'!P15</f>
        <v>132933768</v>
      </c>
      <c r="O15" s="88"/>
      <c r="P15" s="89">
        <f t="shared" si="5"/>
        <v>132933768</v>
      </c>
      <c r="Q15" s="53"/>
      <c r="R15" s="292"/>
      <c r="S15" s="292"/>
    </row>
    <row r="16" spans="1:19" ht="37.950000000000003" customHeight="1" thickBot="1" x14ac:dyDescent="0.35">
      <c r="A16" s="52"/>
      <c r="B16" s="504"/>
      <c r="C16" s="506"/>
      <c r="D16" s="104" t="s">
        <v>34</v>
      </c>
      <c r="E16" s="105">
        <f t="shared" si="0"/>
        <v>45300000</v>
      </c>
      <c r="F16" s="106">
        <f t="shared" ca="1" si="1"/>
        <v>0</v>
      </c>
      <c r="G16" s="107">
        <f t="shared" ca="1" si="2"/>
        <v>45300000</v>
      </c>
      <c r="H16" s="108"/>
      <c r="I16" s="109"/>
      <c r="J16" s="110"/>
      <c r="K16" s="63">
        <f>+'PRESUPUESTO MODIFICADO'!M16</f>
        <v>0</v>
      </c>
      <c r="L16" s="111">
        <f ca="1">SUMIF('Uso Interno DESGLOSE FACTURAS'!$A$4:$A$10,SALDOS!$D16,'Uso Interno DESGLOSE FACTURAS'!$V$10:V12)</f>
        <v>0</v>
      </c>
      <c r="M16" s="112">
        <f t="shared" ca="1" si="4"/>
        <v>0</v>
      </c>
      <c r="N16" s="91">
        <f>+'PRESUPUESTO MODIFICADO'!P16</f>
        <v>45300000</v>
      </c>
      <c r="O16" s="111"/>
      <c r="P16" s="112">
        <f t="shared" si="5"/>
        <v>45300000</v>
      </c>
      <c r="Q16" s="53"/>
      <c r="R16" s="292"/>
      <c r="S16" s="292"/>
    </row>
    <row r="17" spans="1:17" ht="37.950000000000003" customHeight="1" thickBot="1" x14ac:dyDescent="0.35">
      <c r="A17" s="51"/>
      <c r="B17" s="480"/>
      <c r="C17" s="481"/>
      <c r="D17" s="113" t="s">
        <v>59</v>
      </c>
      <c r="E17" s="114">
        <f t="shared" ref="E17:P17" si="10">SUM(E8:E16)</f>
        <v>1328976831</v>
      </c>
      <c r="F17" s="115">
        <f t="shared" ca="1" si="10"/>
        <v>0</v>
      </c>
      <c r="G17" s="116">
        <f t="shared" ca="1" si="10"/>
        <v>1328976831</v>
      </c>
      <c r="H17" s="114">
        <f t="shared" si="10"/>
        <v>949999928</v>
      </c>
      <c r="I17" s="115">
        <f t="shared" ca="1" si="10"/>
        <v>0</v>
      </c>
      <c r="J17" s="116">
        <f t="shared" ca="1" si="10"/>
        <v>949999928</v>
      </c>
      <c r="K17" s="114">
        <f t="shared" si="10"/>
        <v>157462980</v>
      </c>
      <c r="L17" s="117">
        <f t="shared" ca="1" si="10"/>
        <v>0</v>
      </c>
      <c r="M17" s="116">
        <f t="shared" ca="1" si="10"/>
        <v>157462980</v>
      </c>
      <c r="N17" s="118">
        <f t="shared" si="10"/>
        <v>221513923</v>
      </c>
      <c r="O17" s="117">
        <f t="shared" si="10"/>
        <v>0</v>
      </c>
      <c r="P17" s="116">
        <f t="shared" si="10"/>
        <v>221513923</v>
      </c>
      <c r="Q17" s="53"/>
    </row>
    <row r="18" spans="1:17" x14ac:dyDescent="0.3">
      <c r="A18" s="51"/>
      <c r="B18" s="51"/>
      <c r="C18" s="51"/>
      <c r="D18" s="119"/>
      <c r="E18" s="51"/>
      <c r="F18" s="51"/>
      <c r="G18" s="51"/>
      <c r="H18" s="120"/>
      <c r="I18" s="120"/>
      <c r="J18" s="120"/>
      <c r="K18" s="120"/>
      <c r="L18" s="120"/>
      <c r="M18" s="120"/>
      <c r="N18" s="120"/>
      <c r="O18" s="120"/>
      <c r="P18" s="51"/>
      <c r="Q18" s="51"/>
    </row>
    <row r="19" spans="1:17" ht="21" customHeight="1" x14ac:dyDescent="0.3">
      <c r="I19" s="133" t="s">
        <v>87</v>
      </c>
    </row>
    <row r="20" spans="1:17" ht="20.399999999999999" customHeight="1" x14ac:dyDescent="0.3">
      <c r="G20" s="122" t="s">
        <v>37</v>
      </c>
      <c r="H20" s="123"/>
      <c r="I20" s="124">
        <f ca="1">SUM($I$8:$I$9)</f>
        <v>0</v>
      </c>
    </row>
    <row r="21" spans="1:17" ht="20.399999999999999" customHeight="1" x14ac:dyDescent="0.3">
      <c r="G21" s="122" t="s">
        <v>78</v>
      </c>
      <c r="H21" s="123"/>
      <c r="I21" s="124">
        <f ca="1">SUM($I$10:$I$13)</f>
        <v>0</v>
      </c>
    </row>
    <row r="22" spans="1:17" ht="20.399999999999999" customHeight="1" x14ac:dyDescent="0.3">
      <c r="G22" s="123" t="s">
        <v>43</v>
      </c>
      <c r="H22" s="123"/>
      <c r="I22" s="125">
        <f ca="1">+IF(I20&gt;0,I21/I20,0)</f>
        <v>0</v>
      </c>
    </row>
    <row r="25" spans="1:17" ht="21" customHeight="1" x14ac:dyDescent="0.3">
      <c r="G25" s="122" t="s">
        <v>37</v>
      </c>
      <c r="H25" s="123"/>
      <c r="I25" s="124">
        <f ca="1">SUM($F$8:$F$9)</f>
        <v>0</v>
      </c>
      <c r="K25" s="126"/>
    </row>
    <row r="26" spans="1:17" ht="21" customHeight="1" x14ac:dyDescent="0.3">
      <c r="G26" s="488" t="s">
        <v>79</v>
      </c>
      <c r="H26" s="489"/>
      <c r="I26" s="124">
        <f ca="1">SUM($L$8:$L$9)+SUM($L$14:$L$15)</f>
        <v>0</v>
      </c>
      <c r="J26" s="125">
        <f ca="1">+IF($I$25&gt;0,I26/$I$25,0)</f>
        <v>0</v>
      </c>
      <c r="K26" s="126" t="str">
        <f ca="1">IF(J26&lt;10%,"El Mínimo debe ser 10%","OK")</f>
        <v>El Mínimo debe ser 10%</v>
      </c>
    </row>
    <row r="27" spans="1:17" ht="21" customHeight="1" x14ac:dyDescent="0.3">
      <c r="G27" s="122" t="s">
        <v>80</v>
      </c>
      <c r="H27" s="123"/>
      <c r="I27" s="124">
        <f ca="1">+$L$17</f>
        <v>0</v>
      </c>
      <c r="J27" s="125">
        <f ca="1">+IF($I$25&gt;0,I27/$I$25,0)</f>
        <v>0</v>
      </c>
      <c r="K27" s="126"/>
    </row>
    <row r="28" spans="1:17" ht="21" customHeight="1" x14ac:dyDescent="0.3">
      <c r="G28" s="122" t="s">
        <v>81</v>
      </c>
      <c r="H28" s="123"/>
      <c r="I28" s="124">
        <f>+$O$17</f>
        <v>0</v>
      </c>
      <c r="J28" s="125">
        <f ca="1">+IF($I$25&gt;0,I28/$I$25,0)</f>
        <v>0</v>
      </c>
      <c r="K28" s="126"/>
    </row>
    <row r="29" spans="1:17" ht="21" customHeight="1" x14ac:dyDescent="0.3">
      <c r="G29" s="128" t="s">
        <v>82</v>
      </c>
      <c r="H29" s="129"/>
      <c r="I29" s="124">
        <f ca="1">SUM(I27:I28)</f>
        <v>0</v>
      </c>
      <c r="J29" s="125">
        <f ca="1">+IF($I$25&gt;0,I29/$I$25,0)</f>
        <v>0</v>
      </c>
      <c r="K29" s="126" t="str">
        <f ca="1">IF(J29&lt;50%,"El Mínimo debe ser 50%","OK")</f>
        <v>El Mínimo debe ser 50%</v>
      </c>
    </row>
  </sheetData>
  <sheetProtection selectLockedCells="1"/>
  <mergeCells count="16">
    <mergeCell ref="G26:H26"/>
    <mergeCell ref="B7:C7"/>
    <mergeCell ref="H6:J6"/>
    <mergeCell ref="E6:G6"/>
    <mergeCell ref="B8:B9"/>
    <mergeCell ref="C8:C9"/>
    <mergeCell ref="B14:B16"/>
    <mergeCell ref="C14:C16"/>
    <mergeCell ref="B17:C17"/>
    <mergeCell ref="B10:B13"/>
    <mergeCell ref="C10:C13"/>
    <mergeCell ref="B2:P2"/>
    <mergeCell ref="B3:P3"/>
    <mergeCell ref="B4:P4"/>
    <mergeCell ref="B6:D6"/>
    <mergeCell ref="K6:P6"/>
  </mergeCells>
  <conditionalFormatting sqref="E13">
    <cfRule type="containsText" dxfId="24" priority="27" operator="containsText" text="Este Sub Item">
      <formula>NOT(ISERROR(SEARCH("Este Sub Item",E13)))</formula>
    </cfRule>
    <cfRule type="containsText" dxfId="23" priority="28" operator="containsText" text="Este Item debe">
      <formula>NOT(ISERROR(SEARCH("Este Item debe",E13)))</formula>
    </cfRule>
  </conditionalFormatting>
  <conditionalFormatting sqref="E8:G9">
    <cfRule type="containsText" dxfId="22" priority="8" operator="containsText" text="Monto Excede">
      <formula>NOT(ISERROR(SEARCH("Monto Excede",E8)))</formula>
    </cfRule>
    <cfRule type="containsText" dxfId="21" priority="9" operator="containsText" text="M$50.000">
      <formula>NOT(ISERROR(SEARCH("M$50.000",E8)))</formula>
    </cfRule>
  </conditionalFormatting>
  <conditionalFormatting sqref="F13">
    <cfRule type="containsText" dxfId="20" priority="1" operator="containsText" text="HAVE">
      <formula>NOT(ISERROR(SEARCH("HAVE",F13)))</formula>
    </cfRule>
  </conditionalFormatting>
  <conditionalFormatting sqref="G13">
    <cfRule type="containsText" dxfId="19" priority="10" operator="containsText" text="Este Sub Item">
      <formula>NOT(ISERROR(SEARCH("Este Sub Item",G13)))</formula>
    </cfRule>
    <cfRule type="containsText" dxfId="18" priority="11" operator="containsText" text="Este Item debe">
      <formula>NOT(ISERROR(SEARCH("Este Item debe",G13)))</formula>
    </cfRule>
  </conditionalFormatting>
  <conditionalFormatting sqref="H17:J17">
    <cfRule type="cellIs" dxfId="17" priority="2" operator="greaterThan">
      <formula>950000000</formula>
    </cfRule>
  </conditionalFormatting>
  <conditionalFormatting sqref="I22">
    <cfRule type="cellIs" dxfId="16" priority="36" stopIfTrue="1" operator="greaterThan">
      <formula>0.5</formula>
    </cfRule>
  </conditionalFormatting>
  <conditionalFormatting sqref="J26">
    <cfRule type="cellIs" dxfId="15" priority="7" stopIfTrue="1" operator="lessThan">
      <formula>0.1</formula>
    </cfRule>
  </conditionalFormatting>
  <conditionalFormatting sqref="J29">
    <cfRule type="cellIs" dxfId="14" priority="6" stopIfTrue="1" operator="lessThan">
      <formula>0.5</formula>
    </cfRule>
  </conditionalFormatting>
  <conditionalFormatting sqref="K26">
    <cfRule type="containsText" dxfId="13" priority="4" stopIfTrue="1" operator="containsText" text="El Mínimo debe ser 10%">
      <formula>NOT(ISERROR(SEARCH("El Mínimo debe ser 10%",K26)))</formula>
    </cfRule>
  </conditionalFormatting>
  <conditionalFormatting sqref="K29">
    <cfRule type="containsText" dxfId="12" priority="33" stopIfTrue="1" operator="containsText" text="El Mínimo debe ser 50%">
      <formula>NOT(ISERROR(SEARCH("El Mínimo debe ser 50%",K29)))</formula>
    </cfRule>
  </conditionalFormatting>
  <conditionalFormatting sqref="K17:O17">
    <cfRule type="containsText" dxfId="11" priority="14" operator="containsText" text="Debe ser">
      <formula>NOT(ISERROR(SEARCH("Debe ser",K17)))</formula>
    </cfRule>
  </conditionalFormatting>
  <conditionalFormatting sqref="P17">
    <cfRule type="containsText" dxfId="10" priority="31" operator="containsText" text="50%">
      <formula>NOT(ISERROR(SEARCH("50%",P17)))</formula>
    </cfRule>
  </conditionalFormatting>
  <conditionalFormatting sqref="R12">
    <cfRule type="containsText" dxfId="9" priority="17" stopIfTrue="1" operator="containsText" text="Monto Item Equipamiento OK">
      <formula>NOT(ISERROR(SEARCH("Monto Item Equipamiento OK",R12)))</formula>
    </cfRule>
    <cfRule type="containsText" dxfId="8" priority="18" operator="containsText" text="$50.000.000">
      <formula>NOT(ISERROR(SEARCH("$50.000.000",R12)))</formula>
    </cfRule>
    <cfRule type="containsText" dxfId="7" priority="19" operator="containsText" text="Excede">
      <formula>NOT(ISERROR(SEARCH("Excede",R12)))</formula>
    </cfRule>
    <cfRule type="containsText" dxfId="6" priority="20" operator="containsText" text="M$50.000">
      <formula>NOT(ISERROR(SEARCH("M$50.000",R12)))</formula>
    </cfRule>
  </conditionalFormatting>
  <conditionalFormatting sqref="R14:R15">
    <cfRule type="containsText" dxfId="5" priority="21" operator="containsText" text="$50.000.000">
      <formula>NOT(ISERROR(SEARCH("$50.000.000",R14)))</formula>
    </cfRule>
    <cfRule type="containsText" dxfId="4" priority="22" operator="containsText" text="Excede">
      <formula>NOT(ISERROR(SEARCH("Excede",R14)))</formula>
    </cfRule>
    <cfRule type="containsText" dxfId="3" priority="23" operator="containsText" text="M$50.000">
      <formula>NOT(ISERROR(SEARCH("M$50.000",R14)))</formula>
    </cfRule>
    <cfRule type="containsText" dxfId="2" priority="24" stopIfTrue="1" operator="containsText" text="Monto Item Equipamiento OK">
      <formula>NOT(ISERROR(SEARCH("Monto Item Equipamiento OK",R14)))</formula>
    </cfRule>
  </conditionalFormatting>
  <conditionalFormatting sqref="R12:S13">
    <cfRule type="containsText" dxfId="1" priority="16" stopIfTrue="1" operator="containsText" text="No puede tener">
      <formula>NOT(ISERROR(SEARCH("No puede tener",R12)))</formula>
    </cfRule>
  </conditionalFormatting>
  <conditionalFormatting sqref="R14:S16">
    <cfRule type="containsText" dxfId="0" priority="15" stopIfTrue="1" operator="containsText" text="No puede tener">
      <formula>NOT(ISERROR(SEARCH("No puede tener",R14)))</formula>
    </cfRule>
  </conditionalFormatting>
  <printOptions horizontalCentered="1"/>
  <pageMargins left="0" right="0" top="0.78740157480314965" bottom="0.78740157480314965" header="0" footer="0.59055118110236227"/>
  <pageSetup paperSize="5" scale="70" orientation="landscape" r:id="rId1"/>
  <headerFooter alignWithMargins="0">
    <oddFooter>&amp;L&amp;A - &amp;F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313287F9AD844A809C600FFB36AB79" ma:contentTypeVersion="0" ma:contentTypeDescription="Crear nuevo documento." ma:contentTypeScope="" ma:versionID="5bf13423f12cd3cac049605836faca10">
  <xsd:schema xmlns:xsd="http://www.w3.org/2001/XMLSchema" xmlns:xs="http://www.w3.org/2001/XMLSchema" xmlns:p="http://schemas.microsoft.com/office/2006/metadata/properties" targetNamespace="http://schemas.microsoft.com/office/2006/metadata/properties" ma:root="true" ma:fieldsID="888669a25a4819ff64d85379b87075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637FD5-F7AB-4370-B755-A96307086257}"/>
</file>

<file path=customXml/itemProps2.xml><?xml version="1.0" encoding="utf-8"?>
<ds:datastoreItem xmlns:ds="http://schemas.openxmlformats.org/officeDocument/2006/customXml" ds:itemID="{134F8AC1-E454-4A86-9C1C-71BED07AD117}"/>
</file>

<file path=customXml/itemProps3.xml><?xml version="1.0" encoding="utf-8"?>
<ds:datastoreItem xmlns:ds="http://schemas.openxmlformats.org/officeDocument/2006/customXml" ds:itemID="{D328F47A-BD2E-4489-82A8-F1E1C5B940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 INSTRUCTIONS</vt:lpstr>
      <vt:lpstr> QUOTES</vt:lpstr>
      <vt:lpstr> I. EQUIPMENT</vt:lpstr>
      <vt:lpstr> II. TRANSFERS, INST. OPERATION</vt:lpstr>
      <vt:lpstr> III. FINAL BUDGET</vt:lpstr>
      <vt:lpstr> BUDGET DETAIL</vt:lpstr>
      <vt:lpstr> DETAILS CONTRIBUTIONS</vt:lpstr>
      <vt:lpstr>PRESUPUESTO MODIFICADO</vt:lpstr>
      <vt:lpstr>SALDOS</vt:lpstr>
      <vt:lpstr>Uso Interno DESGLOSE FACTURAS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Álvaro González Miranda</dc:creator>
  <cp:keywords/>
  <dc:description/>
  <cp:lastModifiedBy>Nancy Pizarro</cp:lastModifiedBy>
  <cp:revision/>
  <dcterms:created xsi:type="dcterms:W3CDTF">2013-06-10T15:33:12Z</dcterms:created>
  <dcterms:modified xsi:type="dcterms:W3CDTF">2024-01-27T14:48:35Z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0x010100C5313287F9AD844A809C600FFB36AB79</vt:lpwstr>
  </property>
</Properties>
</file>