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codeName="ThisWorkbook"/>
  <mc:AlternateContent xmlns:mc="http://schemas.openxmlformats.org/markup-compatibility/2006">
    <mc:Choice Requires="x15">
      <x15ac:absPath xmlns:x15ac="http://schemas.microsoft.com/office/spreadsheetml/2010/11/ac" url="G:\Mi unidad\unidad\2025\Propuestas\Fondequip\Fondequip 2025\R2_enviados_ANID\"/>
    </mc:Choice>
  </mc:AlternateContent>
  <xr:revisionPtr revIDLastSave="0" documentId="13_ncr:1_{82976BB6-B0E7-4B90-AE17-D21FD9A3615F}" xr6:coauthVersionLast="47" xr6:coauthVersionMax="47" xr10:uidLastSave="{00000000-0000-0000-0000-000000000000}"/>
  <bookViews>
    <workbookView xWindow="-120" yWindow="-120" windowWidth="29040" windowHeight="15840" tabRatio="700" firstSheet="1" activeTab="1" xr2:uid="{00000000-000D-0000-FFFF-FFFF00000000}"/>
  </bookViews>
  <sheets>
    <sheet name="INSTRUCCIONES" sheetId="4" r:id="rId1"/>
    <sheet name="COTIZACIONES" sheetId="5" r:id="rId2"/>
    <sheet name="I.- EQUIPAMIENTO" sheetId="2" r:id="rId3"/>
    <sheet name="II TRASLADOS , INST. OPERACION" sheetId="3" r:id="rId4"/>
    <sheet name="DETALLE APORTES" sheetId="13" r:id="rId5"/>
    <sheet name="III.- PRESUPUESTO FINAL" sheetId="1" r:id="rId6"/>
    <sheet name="DETALLE PRESUPUESTO" sheetId="14" r:id="rId7"/>
    <sheet name="PRESUPUESTO MODIFICADO" sheetId="10" state="hidden" r:id="rId8"/>
    <sheet name="SALDOS " sheetId="9" state="hidden" r:id="rId9"/>
    <sheet name="USO INT. DESGLOSE FACTURAS" sheetId="11" state="hidden" r:id="rId10"/>
  </sheets>
  <definedNames>
    <definedName name="_xlnm.Print_Area" localSheetId="1">COTIZACIONES!$A$1:$M$25</definedName>
    <definedName name="_xlnm.Print_Area" localSheetId="4">'DETALLE APORTES'!$A$1:$P$17</definedName>
    <definedName name="_xlnm.Print_Area" localSheetId="6">'DETALLE PRESUPUESTO'!$A$1:$E$11</definedName>
    <definedName name="_xlnm.Print_Area" localSheetId="2">'I.- EQUIPAMIENTO'!$B$1:$F$27</definedName>
    <definedName name="_xlnm.Print_Area" localSheetId="5">'III.- PRESUPUESTO FINAL'!$B$1:$J$17</definedName>
    <definedName name="_xlnm.Print_Area" localSheetId="7">'PRESUPUESTO MODIFICADO'!$A$2:$P$30</definedName>
    <definedName name="_xlnm.Print_Area" localSheetId="8">'SALDOS '!$A$2:$Q$29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F10" i="3"/>
  <c r="F11" i="3"/>
  <c r="G11" i="3" l="1"/>
  <c r="F16" i="3"/>
  <c r="F15" i="3"/>
  <c r="F11" i="13"/>
  <c r="F10" i="13"/>
  <c r="G10" i="3" s="1"/>
  <c r="F12" i="13"/>
  <c r="G12" i="3" s="1"/>
  <c r="F13" i="13"/>
  <c r="G14" i="3" s="1"/>
  <c r="F14" i="13"/>
  <c r="G15" i="3" s="1"/>
  <c r="F15" i="13"/>
  <c r="G16" i="3" s="1"/>
  <c r="E10" i="13"/>
  <c r="E14" i="13"/>
  <c r="E15" i="13"/>
  <c r="I26" i="9" l="1"/>
  <c r="G13" i="13"/>
  <c r="E13" i="13" s="1"/>
  <c r="F14" i="3" s="1"/>
  <c r="G12" i="13"/>
  <c r="E12" i="13" s="1"/>
  <c r="F12" i="3" s="1"/>
  <c r="G11" i="13"/>
  <c r="E11" i="13" s="1"/>
  <c r="G9" i="13"/>
  <c r="E9" i="13" s="1"/>
  <c r="G8" i="13"/>
  <c r="E8" i="13" s="1"/>
  <c r="F8" i="3" s="1"/>
  <c r="G7" i="13"/>
  <c r="E7" i="13" s="1"/>
  <c r="C10" i="14"/>
  <c r="C9" i="14"/>
  <c r="C8" i="14"/>
  <c r="C6" i="14"/>
  <c r="C5" i="14"/>
  <c r="C4" i="14"/>
  <c r="C3" i="14"/>
  <c r="H23" i="5" l="1"/>
  <c r="H22" i="5"/>
  <c r="H21" i="5"/>
  <c r="H20" i="5"/>
  <c r="H19" i="5"/>
  <c r="H15" i="5"/>
  <c r="H16" i="5"/>
  <c r="H17" i="5"/>
  <c r="H18" i="5"/>
  <c r="E9" i="2" l="1"/>
  <c r="E7" i="3" s="1"/>
  <c r="L15" i="9"/>
  <c r="L16" i="9"/>
  <c r="I8" i="9"/>
  <c r="I11" i="9"/>
  <c r="I12" i="9"/>
  <c r="S8" i="11"/>
  <c r="T6" i="11"/>
  <c r="L10" i="9" s="1"/>
  <c r="S5" i="11"/>
  <c r="I9" i="9" s="1"/>
  <c r="T5" i="11"/>
  <c r="L9" i="9" s="1"/>
  <c r="S6" i="11"/>
  <c r="I10" i="9" s="1"/>
  <c r="S7" i="11"/>
  <c r="T7" i="11"/>
  <c r="L11" i="9" s="1"/>
  <c r="T8" i="11"/>
  <c r="L12" i="9" s="1"/>
  <c r="S9" i="11"/>
  <c r="I13" i="9" s="1"/>
  <c r="T9" i="11"/>
  <c r="L13" i="9" s="1"/>
  <c r="S10" i="11"/>
  <c r="T10" i="11"/>
  <c r="L14" i="9" s="1"/>
  <c r="T4" i="11"/>
  <c r="L8" i="9" s="1"/>
  <c r="S4" i="11"/>
  <c r="Q20" i="11"/>
  <c r="P20" i="11"/>
  <c r="Q19" i="11"/>
  <c r="P19" i="11"/>
  <c r="Q18" i="11"/>
  <c r="P18" i="11"/>
  <c r="Q17" i="11"/>
  <c r="P17" i="11"/>
  <c r="Q16" i="11"/>
  <c r="P16" i="11"/>
  <c r="Q15" i="11"/>
  <c r="P15" i="11"/>
  <c r="Q14" i="11"/>
  <c r="P14" i="11"/>
  <c r="Q11" i="11"/>
  <c r="P11" i="11"/>
  <c r="L20" i="11"/>
  <c r="K20" i="11"/>
  <c r="L19" i="11"/>
  <c r="K19" i="11"/>
  <c r="L18" i="11"/>
  <c r="K18" i="11"/>
  <c r="L17" i="11"/>
  <c r="K17" i="11"/>
  <c r="L16" i="11"/>
  <c r="K16" i="11"/>
  <c r="L15" i="11"/>
  <c r="K15" i="11"/>
  <c r="L14" i="11"/>
  <c r="K14" i="11"/>
  <c r="L11" i="11"/>
  <c r="K11" i="11"/>
  <c r="N20" i="11"/>
  <c r="N19" i="11"/>
  <c r="N18" i="11"/>
  <c r="N17" i="11"/>
  <c r="N16" i="11"/>
  <c r="N15" i="11"/>
  <c r="N14" i="11"/>
  <c r="N11" i="11"/>
  <c r="O10" i="11"/>
  <c r="O20" i="11" s="1"/>
  <c r="O9" i="11"/>
  <c r="O19" i="11" s="1"/>
  <c r="O8" i="11"/>
  <c r="O18" i="11" s="1"/>
  <c r="O7" i="11"/>
  <c r="O17" i="11" s="1"/>
  <c r="O6" i="11"/>
  <c r="O16" i="11" s="1"/>
  <c r="O5" i="11"/>
  <c r="O15" i="11" s="1"/>
  <c r="O4" i="11"/>
  <c r="O14" i="11" s="1"/>
  <c r="D5" i="11"/>
  <c r="L21" i="11" l="1"/>
  <c r="N21" i="11"/>
  <c r="P21" i="11"/>
  <c r="O11" i="11"/>
  <c r="Q21" i="11"/>
  <c r="K21" i="11"/>
  <c r="O21" i="11"/>
  <c r="T14" i="11"/>
  <c r="S14" i="11"/>
  <c r="I14" i="11"/>
  <c r="F14" i="11"/>
  <c r="F7" i="3"/>
  <c r="I12" i="3" l="1"/>
  <c r="F15" i="11" l="1"/>
  <c r="I15" i="11"/>
  <c r="S15" i="11"/>
  <c r="T15" i="11"/>
  <c r="F16" i="11"/>
  <c r="F21" i="11" s="1"/>
  <c r="I16" i="11"/>
  <c r="S16" i="11"/>
  <c r="T16" i="11"/>
  <c r="F17" i="11"/>
  <c r="I17" i="11"/>
  <c r="S17" i="11"/>
  <c r="T17" i="11"/>
  <c r="F18" i="11"/>
  <c r="I18" i="11"/>
  <c r="S18" i="11"/>
  <c r="T18" i="11"/>
  <c r="F19" i="11"/>
  <c r="I19" i="11"/>
  <c r="S19" i="11"/>
  <c r="T19" i="11"/>
  <c r="F20" i="11"/>
  <c r="I20" i="11"/>
  <c r="S20" i="11"/>
  <c r="T20" i="11"/>
  <c r="C15" i="11"/>
  <c r="C16" i="11"/>
  <c r="C17" i="11"/>
  <c r="C18" i="11"/>
  <c r="C19" i="11"/>
  <c r="C20" i="11"/>
  <c r="C14" i="11"/>
  <c r="I21" i="11" l="1"/>
  <c r="T21" i="11"/>
  <c r="S21" i="11"/>
  <c r="C21" i="11"/>
  <c r="G16" i="13"/>
  <c r="R16" i="13" l="1"/>
  <c r="Q16" i="13"/>
  <c r="F15" i="9" l="1"/>
  <c r="F15" i="10"/>
  <c r="I14" i="1" l="1"/>
  <c r="N15" i="10" s="1"/>
  <c r="P15" i="10" s="1"/>
  <c r="N15" i="9" s="1"/>
  <c r="I15" i="1"/>
  <c r="H14" i="1"/>
  <c r="K15" i="10" s="1"/>
  <c r="M15" i="10" s="1"/>
  <c r="K15" i="9" s="1"/>
  <c r="M15" i="9" s="1"/>
  <c r="H15" i="1"/>
  <c r="E15" i="9" l="1"/>
  <c r="P15" i="9"/>
  <c r="G15" i="9" s="1"/>
  <c r="E15" i="10"/>
  <c r="G15" i="10" s="1"/>
  <c r="F14" i="1"/>
  <c r="H16" i="13"/>
  <c r="J16" i="13"/>
  <c r="L16" i="13"/>
  <c r="N16" i="13"/>
  <c r="P16" i="13"/>
  <c r="F16" i="13"/>
  <c r="M16" i="13"/>
  <c r="K16" i="13"/>
  <c r="D9" i="14" l="1"/>
  <c r="I16" i="13"/>
  <c r="O16" i="13"/>
  <c r="J5" i="11"/>
  <c r="J15" i="11" s="1"/>
  <c r="J6" i="11"/>
  <c r="J16" i="11" s="1"/>
  <c r="J7" i="11"/>
  <c r="J17" i="11" s="1"/>
  <c r="J8" i="11"/>
  <c r="J18" i="11" s="1"/>
  <c r="J9" i="11"/>
  <c r="J19" i="11" s="1"/>
  <c r="J10" i="11"/>
  <c r="J20" i="11" s="1"/>
  <c r="G5" i="11"/>
  <c r="G15" i="11" s="1"/>
  <c r="G6" i="11"/>
  <c r="G16" i="11" s="1"/>
  <c r="G7" i="11"/>
  <c r="G17" i="11" s="1"/>
  <c r="G8" i="11"/>
  <c r="G18" i="11" s="1"/>
  <c r="G9" i="11"/>
  <c r="G19" i="11" s="1"/>
  <c r="G10" i="11"/>
  <c r="G20" i="11" s="1"/>
  <c r="M7" i="2"/>
  <c r="U5" i="11" l="1"/>
  <c r="U15" i="11" s="1"/>
  <c r="U6" i="11"/>
  <c r="U16" i="11" s="1"/>
  <c r="U7" i="11"/>
  <c r="U17" i="11" s="1"/>
  <c r="U8" i="11"/>
  <c r="U18" i="11" s="1"/>
  <c r="U9" i="11"/>
  <c r="U19" i="11" s="1"/>
  <c r="U10" i="11"/>
  <c r="U20" i="11" s="1"/>
  <c r="U4" i="11"/>
  <c r="U14" i="11" s="1"/>
  <c r="U21" i="11" l="1"/>
  <c r="J4" i="11"/>
  <c r="J14" i="11" s="1"/>
  <c r="J21" i="11" s="1"/>
  <c r="J11" i="11"/>
  <c r="G4" i="11"/>
  <c r="G14" i="11" s="1"/>
  <c r="G21" i="11" s="1"/>
  <c r="G11" i="11"/>
  <c r="K16" i="10"/>
  <c r="H13" i="1"/>
  <c r="S11" i="11"/>
  <c r="T11" i="11"/>
  <c r="U11" i="11"/>
  <c r="I11" i="11"/>
  <c r="F11" i="11"/>
  <c r="C11" i="11"/>
  <c r="D15" i="11"/>
  <c r="D6" i="11"/>
  <c r="D16" i="11" s="1"/>
  <c r="D7" i="11"/>
  <c r="D17" i="11" s="1"/>
  <c r="D8" i="11"/>
  <c r="D18" i="11" s="1"/>
  <c r="D9" i="11"/>
  <c r="D19" i="11" s="1"/>
  <c r="D10" i="11"/>
  <c r="D20" i="11" s="1"/>
  <c r="D4" i="11"/>
  <c r="D14" i="11" s="1"/>
  <c r="H24" i="5"/>
  <c r="I24" i="5" s="1"/>
  <c r="E10" i="2" s="1"/>
  <c r="N6" i="2" s="1"/>
  <c r="H9" i="5"/>
  <c r="I9" i="5" s="1"/>
  <c r="H14" i="5"/>
  <c r="I14" i="5" s="1"/>
  <c r="I15" i="5" s="1"/>
  <c r="I16" i="5" s="1"/>
  <c r="I17" i="5" s="1"/>
  <c r="I18" i="5" s="1"/>
  <c r="I19" i="5" s="1"/>
  <c r="I20" i="5" s="1"/>
  <c r="I21" i="5" s="1"/>
  <c r="I22" i="5" s="1"/>
  <c r="I23" i="5" s="1"/>
  <c r="O7" i="10"/>
  <c r="L7" i="10"/>
  <c r="I7" i="10"/>
  <c r="I21" i="9"/>
  <c r="I20" i="9"/>
  <c r="I22" i="9" s="1"/>
  <c r="F13" i="9"/>
  <c r="F8" i="10"/>
  <c r="F17" i="10" s="1"/>
  <c r="F9" i="10"/>
  <c r="F10" i="10"/>
  <c r="F11" i="10"/>
  <c r="F12" i="10"/>
  <c r="F13" i="10"/>
  <c r="F14" i="10"/>
  <c r="F16" i="10"/>
  <c r="H9" i="1"/>
  <c r="K10" i="10" s="1"/>
  <c r="M10" i="10" s="1"/>
  <c r="K10" i="9" s="1"/>
  <c r="M10" i="9" s="1"/>
  <c r="H10" i="1"/>
  <c r="K11" i="10" s="1"/>
  <c r="M11" i="10" s="1"/>
  <c r="K11" i="9" s="1"/>
  <c r="M11" i="9" s="1"/>
  <c r="H11" i="1"/>
  <c r="K12" i="10" s="1"/>
  <c r="M12" i="10" s="1"/>
  <c r="K12" i="9" s="1"/>
  <c r="M12" i="9" s="1"/>
  <c r="H12" i="1"/>
  <c r="K13" i="10" s="1"/>
  <c r="M13" i="10" s="1"/>
  <c r="K13" i="9" s="1"/>
  <c r="M13" i="9" s="1"/>
  <c r="J20" i="10"/>
  <c r="O17" i="10"/>
  <c r="L17" i="10"/>
  <c r="I17" i="10"/>
  <c r="I17" i="9"/>
  <c r="L17" i="9"/>
  <c r="I27" i="9" s="1"/>
  <c r="O17" i="9"/>
  <c r="I28" i="9"/>
  <c r="F16" i="9"/>
  <c r="F14" i="9"/>
  <c r="F12" i="9"/>
  <c r="F11" i="9"/>
  <c r="F10" i="9"/>
  <c r="F9" i="9"/>
  <c r="F8" i="9"/>
  <c r="I13" i="1"/>
  <c r="N14" i="10" s="1"/>
  <c r="P14" i="10" s="1"/>
  <c r="N14" i="9" s="1"/>
  <c r="P14" i="9" s="1"/>
  <c r="H10" i="5"/>
  <c r="I10" i="5" s="1"/>
  <c r="G23" i="3"/>
  <c r="P18" i="3"/>
  <c r="I12" i="1"/>
  <c r="N13" i="10" s="1"/>
  <c r="P13" i="10" s="1"/>
  <c r="N13" i="9" s="1"/>
  <c r="P13" i="9" s="1"/>
  <c r="G11" i="1"/>
  <c r="H12" i="10" s="1"/>
  <c r="G10" i="1"/>
  <c r="N16" i="10"/>
  <c r="P16" i="10" s="1"/>
  <c r="N16" i="9" s="1"/>
  <c r="P16" i="9" s="1"/>
  <c r="I11" i="1"/>
  <c r="I10" i="1"/>
  <c r="G12" i="1"/>
  <c r="H13" i="10" s="1"/>
  <c r="J13" i="10" s="1"/>
  <c r="H13" i="9" s="1"/>
  <c r="P7" i="2" l="1"/>
  <c r="P8" i="2" s="1"/>
  <c r="E23" i="2" s="1"/>
  <c r="E22" i="2" s="1"/>
  <c r="D22" i="2" s="1"/>
  <c r="E8" i="3"/>
  <c r="G8" i="1" s="1"/>
  <c r="E25" i="3"/>
  <c r="F25" i="3" s="1"/>
  <c r="M6" i="2"/>
  <c r="O6" i="2" s="1"/>
  <c r="P6" i="2" s="1"/>
  <c r="I29" i="9"/>
  <c r="F17" i="9"/>
  <c r="I25" i="9"/>
  <c r="J26" i="9" s="1"/>
  <c r="K26" i="9" s="1"/>
  <c r="D21" i="11"/>
  <c r="D11" i="11"/>
  <c r="N11" i="10"/>
  <c r="P11" i="10" s="1"/>
  <c r="H7" i="1"/>
  <c r="K8" i="10" s="1"/>
  <c r="M8" i="10" s="1"/>
  <c r="H8" i="1"/>
  <c r="K9" i="10" s="1"/>
  <c r="M9" i="10" s="1"/>
  <c r="K9" i="9" s="1"/>
  <c r="M9" i="9" s="1"/>
  <c r="E23" i="3"/>
  <c r="E18" i="3" s="1"/>
  <c r="N12" i="10"/>
  <c r="P12" i="10" s="1"/>
  <c r="N12" i="9" s="1"/>
  <c r="P12" i="9" s="1"/>
  <c r="G7" i="1"/>
  <c r="J12" i="10"/>
  <c r="H12" i="9" s="1"/>
  <c r="F11" i="1"/>
  <c r="K11" i="1"/>
  <c r="F12" i="1"/>
  <c r="E13" i="10"/>
  <c r="G13" i="10" s="1"/>
  <c r="J13" i="9"/>
  <c r="G13" i="9" s="1"/>
  <c r="E13" i="9"/>
  <c r="F10" i="1"/>
  <c r="H11" i="10"/>
  <c r="J11" i="10" s="1"/>
  <c r="H11" i="9" s="1"/>
  <c r="J11" i="9" s="1"/>
  <c r="F23" i="3"/>
  <c r="E27" i="3" s="1"/>
  <c r="K14" i="10"/>
  <c r="R14" i="10" s="1"/>
  <c r="F13" i="1"/>
  <c r="E16" i="10"/>
  <c r="G16" i="10" s="1"/>
  <c r="M16" i="10"/>
  <c r="K16" i="9" s="1"/>
  <c r="F15" i="1"/>
  <c r="K13" i="1"/>
  <c r="H16" i="2" l="1"/>
  <c r="E25" i="2" s="1"/>
  <c r="H9" i="2"/>
  <c r="E26" i="3"/>
  <c r="D8" i="14"/>
  <c r="D10" i="14"/>
  <c r="D6" i="14"/>
  <c r="D4" i="14"/>
  <c r="D5" i="14"/>
  <c r="J28" i="9"/>
  <c r="J27" i="9"/>
  <c r="J29" i="9"/>
  <c r="K29" i="9" s="1"/>
  <c r="F8" i="1"/>
  <c r="E16" i="13"/>
  <c r="H9" i="10"/>
  <c r="E9" i="10" s="1"/>
  <c r="G9" i="10" s="1"/>
  <c r="Q18" i="3"/>
  <c r="N17" i="10"/>
  <c r="F27" i="3"/>
  <c r="E31" i="3"/>
  <c r="G9" i="1"/>
  <c r="G16" i="1" s="1"/>
  <c r="E12" i="10"/>
  <c r="G12" i="10" s="1"/>
  <c r="E14" i="10"/>
  <c r="G14" i="10" s="1"/>
  <c r="M14" i="10"/>
  <c r="M17" i="10" s="1"/>
  <c r="J28" i="10" s="1"/>
  <c r="K17" i="10"/>
  <c r="K8" i="9"/>
  <c r="M8" i="9" s="1"/>
  <c r="H8" i="10"/>
  <c r="E8" i="10" s="1"/>
  <c r="G8" i="10" s="1"/>
  <c r="F7" i="1"/>
  <c r="E11" i="10"/>
  <c r="G11" i="10" s="1"/>
  <c r="E12" i="9"/>
  <c r="J12" i="9"/>
  <c r="G12" i="9" s="1"/>
  <c r="P17" i="10"/>
  <c r="J29" i="10" s="1"/>
  <c r="R12" i="10"/>
  <c r="N11" i="9"/>
  <c r="D18" i="3"/>
  <c r="E16" i="9"/>
  <c r="M16" i="9"/>
  <c r="G16" i="9" s="1"/>
  <c r="J27" i="10" l="1"/>
  <c r="H25" i="2"/>
  <c r="C25" i="2"/>
  <c r="J26" i="10"/>
  <c r="D23" i="2"/>
  <c r="I16" i="1"/>
  <c r="J9" i="10"/>
  <c r="H9" i="9" s="1"/>
  <c r="E9" i="9" s="1"/>
  <c r="K14" i="9"/>
  <c r="M14" i="9" s="1"/>
  <c r="F9" i="1"/>
  <c r="D3" i="14" s="1"/>
  <c r="H10" i="10"/>
  <c r="H17" i="10" s="1"/>
  <c r="J8" i="10"/>
  <c r="J30" i="10"/>
  <c r="N17" i="9"/>
  <c r="P11" i="9"/>
  <c r="E11" i="9"/>
  <c r="F16" i="1" l="1"/>
  <c r="K30" i="2"/>
  <c r="R14" i="9"/>
  <c r="J9" i="9"/>
  <c r="G9" i="9" s="1"/>
  <c r="K29" i="10"/>
  <c r="E14" i="9"/>
  <c r="K17" i="9"/>
  <c r="E10" i="10"/>
  <c r="J10" i="10"/>
  <c r="J17" i="10" s="1"/>
  <c r="H8" i="9"/>
  <c r="J8" i="9" s="1"/>
  <c r="G8" i="9" s="1"/>
  <c r="J21" i="10"/>
  <c r="P17" i="9"/>
  <c r="R12" i="9"/>
  <c r="G11" i="9"/>
  <c r="G14" i="9"/>
  <c r="M17" i="9"/>
  <c r="K27" i="10" l="1"/>
  <c r="L27" i="10" s="1"/>
  <c r="K28" i="10"/>
  <c r="K30" i="10"/>
  <c r="L30" i="10" s="1"/>
  <c r="H10" i="9"/>
  <c r="H17" i="9" s="1"/>
  <c r="J22" i="10"/>
  <c r="J23" i="10" s="1"/>
  <c r="G10" i="10"/>
  <c r="G17" i="10" s="1"/>
  <c r="E17" i="10"/>
  <c r="E8" i="9"/>
  <c r="J10" i="9" l="1"/>
  <c r="E10" i="9"/>
  <c r="E17" i="9" s="1"/>
  <c r="G10" i="9" l="1"/>
  <c r="G17" i="9" s="1"/>
  <c r="J17" i="9"/>
  <c r="E29" i="3"/>
  <c r="F18" i="3" l="1"/>
  <c r="R18" i="3" s="1"/>
  <c r="G18" i="3"/>
  <c r="S18" i="3" s="1"/>
  <c r="H16" i="1"/>
  <c r="F30" i="3"/>
  <c r="E32" i="3"/>
  <c r="F29" i="3"/>
  <c r="D25" i="2"/>
  <c r="E30" i="3" l="1"/>
  <c r="F31" i="3" s="1"/>
  <c r="T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Roxany Barahona Ligueno</author>
  </authors>
  <commentList>
    <comment ref="J4" authorId="0" shapeId="0" xr:uid="{00000000-0006-0000-0100-000001000000}">
      <text>
        <r>
          <rPr>
            <b/>
            <sz val="9"/>
            <color indexed="81"/>
            <rFont val="Tahoma"/>
            <family val="2"/>
          </rPr>
          <t>Especificar Otra Moneda utilizada en la cotización.-</t>
        </r>
      </text>
    </comment>
    <comment ref="J5" authorId="0" shapeId="0" xr:uid="{00000000-0006-0000-0100-000002000000}">
      <text>
        <r>
          <rPr>
            <b/>
            <sz val="9"/>
            <color indexed="81"/>
            <rFont val="Tahoma"/>
            <family val="2"/>
          </rPr>
          <t>Indicar Tipo de Cambio utilizado con Otra Moneda.-</t>
        </r>
      </text>
    </comment>
    <comment ref="G8" authorId="0" shapeId="0" xr:uid="{00000000-0006-0000-0100-000003000000}">
      <text>
        <r>
          <rPr>
            <b/>
            <sz val="9"/>
            <color indexed="81"/>
            <rFont val="Tahoma"/>
            <family val="2"/>
          </rPr>
          <t xml:space="preserve">
Seleccionar la Moneda utilizada en la Cotización.-</t>
        </r>
      </text>
    </comment>
    <comment ref="G13" authorId="0" shapeId="0" xr:uid="{00000000-0006-0000-0100-000004000000}">
      <text>
        <r>
          <rPr>
            <b/>
            <sz val="9"/>
            <color indexed="81"/>
            <rFont val="Tahoma"/>
            <family val="2"/>
          </rPr>
          <t xml:space="preserve">
Seleccionar la Moneda utilizada en la Cotización.-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tc={FFB68F36-F801-4D62-A82B-9C0B1F300FD0}</author>
    <author>tc={CFDC694D-FA57-41CD-AA91-C158D61D1085}</author>
    <author>tc={DA2FA778-9F02-478B-9398-9F5AF62309E9}</author>
    <author>tc={9F9A4B31-DF57-43F2-9A9F-55A776BFBC64}</author>
    <author>tc={7A06E5D3-48F6-446D-A1B4-7DE04DC08036}</author>
    <author>tc={9483710B-9EE6-41CE-9717-E36BA4C884F8}</author>
    <author>tc={1E335CB1-C5DF-404D-8E85-A58A1F765AB5}</author>
    <author>tc={AD5171CA-A9F3-421A-AF7D-7E3829B178DB}</author>
    <author>tc={4BC0FAC7-1A11-47F4-86E4-C85204E60A11}</author>
    <author>tc={96ECC16E-219F-49E8-9894-BEBA0192A11B}</author>
    <author>tc={4A8BB480-A2EE-4798-8664-5FE64E4CDEA7}</author>
    <author>tc={C0951B4A-D909-443B-8AE2-D6C3E9AB7233}</author>
    <author>tc={DBBCB07C-8BDA-467D-8523-CC3F49F04FAA}</author>
    <author>tc={AB265B10-A067-4AA5-94D6-599E2CB554DC}</author>
    <author>tc={0A8C0AC1-0DD2-4B6E-9C5C-42CB64BD6667}</author>
  </authors>
  <commentList>
    <comment ref="F7" authorId="0" shapeId="0" xr:uid="{FFB68F36-F801-4D62-A82B-9C0B1F300FD0}">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8" authorId="1" shapeId="0" xr:uid="{CFDC694D-FA57-41CD-AA91-C158D61D1085}">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9" authorId="2" shapeId="0" xr:uid="{DA2FA778-9F02-478B-9398-9F5AF62309E9}">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0" authorId="3" shapeId="0" xr:uid="{9F9A4B31-DF57-43F2-9A9F-55A776BFBC64}">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0" authorId="4" shapeId="0" xr:uid="{7A06E5D3-48F6-446D-A1B4-7DE04DC08036}">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1" authorId="5" shapeId="0" xr:uid="{9483710B-9EE6-41CE-9717-E36BA4C884F8}">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1" authorId="6" shapeId="0" xr:uid="{1E335CB1-C5DF-404D-8E85-A58A1F765AB5}">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2" authorId="7" shapeId="0" xr:uid="{AD5171CA-A9F3-421A-AF7D-7E3829B178DB}">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2" authorId="8" shapeId="0" xr:uid="{4BC0FAC7-1A11-47F4-86E4-C85204E60A11}">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4" authorId="9" shapeId="0" xr:uid="{96ECC16E-219F-49E8-9894-BEBA0192A11B}">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4" authorId="10" shapeId="0" xr:uid="{4A8BB480-A2EE-4798-8664-5FE64E4CDEA7}">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5" authorId="11" shapeId="0" xr:uid="{C0951B4A-D909-443B-8AE2-D6C3E9AB7233}">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5" authorId="12" shapeId="0" xr:uid="{DBBCB07C-8BDA-467D-8523-CC3F49F04FAA}">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6" authorId="13" shapeId="0" xr:uid="{AB265B10-A067-4AA5-94D6-599E2CB554DC}">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6" authorId="14" shapeId="0" xr:uid="{0A8C0AC1-0DD2-4B6E-9C5C-42CB64BD6667}">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Roxany Barahona Ligueno</author>
    <author>tc={7EDE5B45-7AC8-47F5-8264-9120E8EC5946}</author>
    <author>tc={89C33586-7617-41A9-9927-C3EEF1703468}</author>
    <author>tc={75B59B58-F912-4988-80D5-555831CC8556}</author>
    <author>tc={F6ED456A-0283-4CCC-9F94-F10A9C4FB954}</author>
    <author>tc={BF38B127-74C0-45FF-8532-13088784B80B}</author>
    <author>tc={8FFC5D1E-1884-40B0-B0C2-9C506B913365}</author>
  </authors>
  <commentList>
    <comment ref="I5" authorId="0" shapeId="0" xr:uid="{00000000-0006-0000-0400-000001000000}">
      <text>
        <r>
          <rPr>
            <sz val="9"/>
            <color indexed="81"/>
            <rFont val="Tahoma"/>
            <family val="2"/>
          </rPr>
          <t xml:space="preserve">Nombre de la Institución Asociada.-
</t>
        </r>
      </text>
    </comment>
    <comment ref="K5" authorId="0" shapeId="0" xr:uid="{00000000-0006-0000-0400-000002000000}">
      <text>
        <r>
          <rPr>
            <sz val="9"/>
            <color indexed="81"/>
            <rFont val="Tahoma"/>
            <family val="2"/>
          </rPr>
          <t xml:space="preserve">Nombre de la Institución Asociada.-
</t>
        </r>
      </text>
    </comment>
    <comment ref="M5" authorId="0" shapeId="0" xr:uid="{00000000-0006-0000-0400-000003000000}">
      <text>
        <r>
          <rPr>
            <sz val="9"/>
            <color indexed="81"/>
            <rFont val="Tahoma"/>
            <family val="2"/>
          </rPr>
          <t xml:space="preserve">Nombre de la Institución Asociada.-
</t>
        </r>
      </text>
    </comment>
    <comment ref="O5" authorId="0" shapeId="0" xr:uid="{00000000-0006-0000-0400-000004000000}">
      <text>
        <r>
          <rPr>
            <sz val="9"/>
            <color indexed="81"/>
            <rFont val="Tahoma"/>
            <family val="2"/>
          </rPr>
          <t xml:space="preserve">Nombre de la Institución Asociada.-
</t>
        </r>
      </text>
    </comment>
    <comment ref="Q5" authorId="0" shapeId="0" xr:uid="{00000000-0006-0000-0400-000005000000}">
      <text>
        <r>
          <rPr>
            <sz val="9"/>
            <color indexed="81"/>
            <rFont val="Tahoma"/>
            <family val="2"/>
          </rPr>
          <t xml:space="preserve">Nombre de la Institución Asociada.-
</t>
        </r>
      </text>
    </comment>
    <comment ref="G7" authorId="1" shapeId="0" xr:uid="{7EDE5B45-7AC8-47F5-8264-9120E8EC5946}">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 ref="G8" authorId="2" shapeId="0" xr:uid="{89C33586-7617-41A9-9927-C3EEF1703468}">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 ref="G9" authorId="3" shapeId="0" xr:uid="{75B59B58-F912-4988-80D5-555831CC8556}">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 ref="G11" authorId="4" shapeId="0" xr:uid="{F6ED456A-0283-4CCC-9F94-F10A9C4FB954}">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 ref="G12" authorId="5" shapeId="0" xr:uid="{BF38B127-74C0-45FF-8532-13088784B80B}">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 ref="G13" authorId="6" shapeId="0" xr:uid="{8FFC5D1E-1884-40B0-B0C2-9C506B913365}">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List>
</comments>
</file>

<file path=xl/sharedStrings.xml><?xml version="1.0" encoding="utf-8"?>
<sst xmlns="http://schemas.openxmlformats.org/spreadsheetml/2006/main" count="345" uniqueCount="175">
  <si>
    <t>INSTRUCCIONES</t>
  </si>
  <si>
    <r>
      <rPr>
        <b/>
        <u/>
        <sz val="11"/>
        <color theme="0"/>
        <rFont val="Calibri"/>
        <family val="2"/>
        <scheme val="minor"/>
      </rPr>
      <t>IMPORTANTE</t>
    </r>
    <r>
      <rPr>
        <b/>
        <sz val="11"/>
        <color theme="0"/>
        <rFont val="Calibri"/>
        <family val="2"/>
        <scheme val="minor"/>
      </rPr>
      <t>: 
Recuerde que el(la) postulante es el(la) responsable del correcto ingreso de los montos en las celdas correspondientes y de la completitud del Formulario, las celdas de verificación y/o validación son solo de ayuda. No debe alterar el formato ni las fórmulas (desbloquear, mover celdas, insertar filas, eliminar columnas, etc.).</t>
    </r>
  </si>
  <si>
    <t>COTIZACIONES</t>
  </si>
  <si>
    <r>
      <t>1.- Se debe completar la Hoja COTIZACIONES con los</t>
    </r>
    <r>
      <rPr>
        <b/>
        <sz val="11"/>
        <rFont val="Calibri"/>
        <family val="2"/>
        <scheme val="minor"/>
      </rPr>
      <t xml:space="preserve"> valores</t>
    </r>
    <r>
      <rPr>
        <sz val="11"/>
        <rFont val="Calibri"/>
        <family val="2"/>
        <scheme val="minor"/>
      </rPr>
      <t xml:space="preserve"> del </t>
    </r>
    <r>
      <rPr>
        <b/>
        <sz val="11"/>
        <rFont val="Calibri"/>
        <family val="2"/>
        <scheme val="minor"/>
      </rPr>
      <t>Equipo, Plataforma y/o Accesorios</t>
    </r>
    <r>
      <rPr>
        <sz val="11"/>
        <rFont val="Calibri"/>
        <family val="2"/>
        <scheme val="minor"/>
      </rPr>
      <t xml:space="preserve">, con o sin IVA, de acuerdo a la(s) cotización(es) presentada(s) en la postulación, siguiendo las instrucciones indicadas.-
2.- Se puede usar la sección COTIZACIÓN PRESENTADA PARA EQUIPO PRINCIPAL o COTIZACIÓN PRESENTADA PARA PLATAFORMA DE EQUIPOS, dependiendo de la configuración postulada.-
3.- En el caso de Equipos que presenten más de una cotización por cada uno, se deben sumar los valores individuales en la celda correspondiente.-
4.- En el caso de </t>
    </r>
    <r>
      <rPr>
        <b/>
        <sz val="11"/>
        <rFont val="Calibri"/>
        <family val="2"/>
        <scheme val="minor"/>
      </rPr>
      <t>Plataformas</t>
    </r>
    <r>
      <rPr>
        <sz val="11"/>
        <rFont val="Calibri"/>
        <family val="2"/>
        <scheme val="minor"/>
      </rPr>
      <t xml:space="preserve">, se debe ingresar cada valor en una celda distinta, los cuales se suman para el valor final de ésta.-
5.- Las Cotizaciones deben corresponder a la </t>
    </r>
    <r>
      <rPr>
        <b/>
        <sz val="11"/>
        <rFont val="Calibri"/>
        <family val="2"/>
        <scheme val="minor"/>
      </rPr>
      <t>misma configuración del equipamiento postulado</t>
    </r>
    <r>
      <rPr>
        <sz val="11"/>
        <rFont val="Calibri"/>
        <family val="2"/>
        <scheme val="minor"/>
      </rPr>
      <t>.-
6.-</t>
    </r>
    <r>
      <rPr>
        <b/>
        <sz val="11"/>
        <rFont val="Calibri"/>
        <family val="2"/>
        <scheme val="minor"/>
      </rPr>
      <t xml:space="preserve"> </t>
    </r>
    <r>
      <rPr>
        <sz val="11"/>
        <rFont val="Calibri"/>
        <family val="2"/>
        <scheme val="minor"/>
      </rPr>
      <t xml:space="preserve">Usar los </t>
    </r>
    <r>
      <rPr>
        <b/>
        <sz val="11"/>
        <rFont val="Calibri"/>
        <family val="2"/>
        <scheme val="minor"/>
      </rPr>
      <t>valores establecidos como tipo de cambio</t>
    </r>
    <r>
      <rPr>
        <sz val="11"/>
        <rFont val="Calibri"/>
        <family val="2"/>
        <scheme val="minor"/>
      </rPr>
      <t>.-</t>
    </r>
  </si>
  <si>
    <t>PRESUPUESTO</t>
  </si>
  <si>
    <r>
      <rPr>
        <b/>
        <sz val="11"/>
        <rFont val="Calibri"/>
        <family val="2"/>
        <scheme val="minor"/>
      </rPr>
      <t>1.-</t>
    </r>
    <r>
      <rPr>
        <sz val="11"/>
        <rFont val="Calibri"/>
        <family val="2"/>
        <scheme val="minor"/>
      </rPr>
      <t xml:space="preserve"> Solo ingresar valores en las celdas correspondientes a los montos de cada Sub-ítem.                        Todos los montos deben ser ingresados completos y en Pesos Chilenos (por ejemplo: $1.000.000 en lugar de M$1.000).-</t>
    </r>
  </si>
  <si>
    <r>
      <rPr>
        <b/>
        <sz val="11"/>
        <color indexed="8"/>
        <rFont val="Calibri"/>
        <family val="2"/>
        <scheme val="minor"/>
      </rPr>
      <t>2.-</t>
    </r>
    <r>
      <rPr>
        <sz val="11"/>
        <color indexed="8"/>
        <rFont val="Calibri"/>
        <family val="2"/>
        <scheme val="minor"/>
      </rPr>
      <t xml:space="preserve"> Se debe ingresar, en primer lugar, en la Hoja </t>
    </r>
    <r>
      <rPr>
        <b/>
        <sz val="11"/>
        <color indexed="8"/>
        <rFont val="Calibri"/>
        <family val="2"/>
        <scheme val="minor"/>
      </rPr>
      <t>I.- EQUIPAMIENTO</t>
    </r>
    <r>
      <rPr>
        <sz val="11"/>
        <color indexed="8"/>
        <rFont val="Calibri"/>
        <family val="2"/>
        <scheme val="minor"/>
      </rPr>
      <t xml:space="preserve"> el monto de </t>
    </r>
    <r>
      <rPr>
        <b/>
        <sz val="11"/>
        <color indexed="8"/>
        <rFont val="Calibri"/>
        <family val="2"/>
        <scheme val="minor"/>
      </rPr>
      <t xml:space="preserve">A.1 Equipo Principal o Plataforma </t>
    </r>
    <r>
      <rPr>
        <sz val="11"/>
        <color indexed="8"/>
        <rFont val="Calibri"/>
        <family val="2"/>
        <scheme val="minor"/>
      </rPr>
      <t>y/o</t>
    </r>
    <r>
      <rPr>
        <b/>
        <sz val="11"/>
        <color indexed="8"/>
        <rFont val="Calibri"/>
        <family val="2"/>
        <scheme val="minor"/>
      </rPr>
      <t xml:space="preserve"> A.2 Accesorio(s)</t>
    </r>
    <r>
      <rPr>
        <sz val="11"/>
        <color indexed="8"/>
        <rFont val="Calibri"/>
        <family val="2"/>
        <scheme val="minor"/>
      </rPr>
      <t xml:space="preserve">, si corresponde. La suma de estos montos no puede ser menor a </t>
    </r>
    <r>
      <rPr>
        <b/>
        <sz val="11"/>
        <color indexed="8"/>
        <rFont val="Calibri"/>
        <family val="2"/>
        <scheme val="minor"/>
      </rPr>
      <t>$50.000.000 (cincuenta millones de pesos)</t>
    </r>
    <r>
      <rPr>
        <sz val="11"/>
        <color indexed="8"/>
        <rFont val="Calibri"/>
        <family val="2"/>
        <scheme val="minor"/>
      </rPr>
      <t>.-</t>
    </r>
  </si>
  <si>
    <r>
      <rPr>
        <b/>
        <sz val="11"/>
        <color indexed="8"/>
        <rFont val="Calibri"/>
        <family val="2"/>
        <scheme val="minor"/>
      </rPr>
      <t xml:space="preserve">3.- </t>
    </r>
    <r>
      <rPr>
        <sz val="11"/>
        <color indexed="8"/>
        <rFont val="Calibri"/>
        <family val="2"/>
        <scheme val="minor"/>
      </rPr>
      <t xml:space="preserve">Ingresar el </t>
    </r>
    <r>
      <rPr>
        <b/>
        <sz val="11"/>
        <color indexed="8"/>
        <rFont val="Calibri"/>
        <family val="2"/>
        <scheme val="minor"/>
      </rPr>
      <t>Aporte Pecuniario total de la(s) Institución(es)</t>
    </r>
    <r>
      <rPr>
        <sz val="11"/>
        <color indexed="8"/>
        <rFont val="Calibri"/>
        <family val="2"/>
        <scheme val="minor"/>
      </rPr>
      <t xml:space="preserve"> que conforma(n) la propuesta (Beneficiara y Asociada(s), si corresponde). Éste debe ser equivalente, al menos, al 10% del monto de </t>
    </r>
    <r>
      <rPr>
        <b/>
        <sz val="11"/>
        <color indexed="8"/>
        <rFont val="Calibri"/>
        <family val="2"/>
        <scheme val="minor"/>
      </rPr>
      <t xml:space="preserve">A. Equipamiento </t>
    </r>
    <r>
      <rPr>
        <sz val="11"/>
        <color rgb="FF000000"/>
        <rFont val="Calibri"/>
        <family val="2"/>
        <scheme val="minor"/>
      </rPr>
      <t xml:space="preserve">y puede ser </t>
    </r>
    <r>
      <rPr>
        <b/>
        <sz val="11"/>
        <color indexed="8"/>
        <rFont val="Calibri"/>
        <family val="2"/>
        <scheme val="minor"/>
      </rPr>
      <t xml:space="preserve">comprometido </t>
    </r>
    <r>
      <rPr>
        <sz val="11"/>
        <color rgb="FF000000"/>
        <rFont val="Calibri"/>
        <family val="2"/>
        <scheme val="minor"/>
      </rPr>
      <t>en los sub-ítems</t>
    </r>
    <r>
      <rPr>
        <b/>
        <sz val="11"/>
        <color indexed="8"/>
        <rFont val="Calibri"/>
        <family val="2"/>
        <scheme val="minor"/>
      </rPr>
      <t xml:space="preserve">: </t>
    </r>
    <r>
      <rPr>
        <b/>
        <sz val="11"/>
        <color rgb="FF000000"/>
        <rFont val="Calibri"/>
        <family val="2"/>
        <scheme val="minor"/>
      </rPr>
      <t>A.1.</t>
    </r>
    <r>
      <rPr>
        <sz val="11"/>
        <color rgb="FF000000"/>
        <rFont val="Calibri"/>
        <family val="2"/>
        <scheme val="minor"/>
      </rPr>
      <t xml:space="preserve"> Equipo Principal o Plataforma y/o A.2 Accesorio(s) y/o </t>
    </r>
    <r>
      <rPr>
        <b/>
        <sz val="11"/>
        <color rgb="FF000000"/>
        <rFont val="Calibri"/>
        <family val="2"/>
        <scheme val="minor"/>
      </rPr>
      <t>B.1</t>
    </r>
    <r>
      <rPr>
        <sz val="11"/>
        <color rgb="FF000000"/>
        <rFont val="Calibri"/>
        <family val="2"/>
        <scheme val="minor"/>
      </rPr>
      <t xml:space="preserve">. Traslados, Seguros de Traslado, Desaduanaje e IVA de Equipo y/o </t>
    </r>
    <r>
      <rPr>
        <b/>
        <sz val="11"/>
        <color rgb="FF000000"/>
        <rFont val="Calibri"/>
        <family val="2"/>
        <scheme val="minor"/>
      </rPr>
      <t>B.3</t>
    </r>
    <r>
      <rPr>
        <sz val="11"/>
        <color rgb="FF000000"/>
        <rFont val="Calibri"/>
        <family val="2"/>
        <scheme val="minor"/>
      </rPr>
      <t xml:space="preserve">. Instalación y Puesta en Marcha de Equipo y/o </t>
    </r>
    <r>
      <rPr>
        <b/>
        <sz val="11"/>
        <color rgb="FF000000"/>
        <rFont val="Calibri"/>
        <family val="2"/>
        <scheme val="minor"/>
      </rPr>
      <t>B.4</t>
    </r>
    <r>
      <rPr>
        <sz val="11"/>
        <color rgb="FF000000"/>
        <rFont val="Calibri"/>
        <family val="2"/>
        <scheme val="minor"/>
      </rPr>
      <t xml:space="preserve">. Mantención, Garantías y Seguros de Equipo y/o </t>
    </r>
    <r>
      <rPr>
        <b/>
        <sz val="11"/>
        <color rgb="FF000000"/>
        <rFont val="Calibri"/>
        <family val="2"/>
        <scheme val="minor"/>
      </rPr>
      <t>C.1</t>
    </r>
    <r>
      <rPr>
        <sz val="11"/>
        <color rgb="FF000000"/>
        <rFont val="Calibri"/>
        <family val="2"/>
        <scheme val="minor"/>
      </rPr>
      <t>. Capacitaciones.-</t>
    </r>
  </si>
  <si>
    <r>
      <rPr>
        <b/>
        <sz val="11"/>
        <color indexed="8"/>
        <rFont val="Calibri"/>
        <family val="2"/>
        <scheme val="minor"/>
      </rPr>
      <t>4.-</t>
    </r>
    <r>
      <rPr>
        <sz val="11"/>
        <color indexed="8"/>
        <rFont val="Calibri"/>
        <family val="2"/>
        <scheme val="minor"/>
      </rPr>
      <t xml:space="preserve"> El </t>
    </r>
    <r>
      <rPr>
        <b/>
        <sz val="11"/>
        <color indexed="8"/>
        <rFont val="Calibri"/>
        <family val="2"/>
        <scheme val="minor"/>
      </rPr>
      <t>Aporte No Pecuniario total</t>
    </r>
    <r>
      <rPr>
        <sz val="11"/>
        <color indexed="8"/>
        <rFont val="Calibri"/>
        <family val="2"/>
        <scheme val="minor"/>
      </rPr>
      <t xml:space="preserve"> </t>
    </r>
    <r>
      <rPr>
        <b/>
        <sz val="11"/>
        <color indexed="8"/>
        <rFont val="Calibri"/>
        <family val="2"/>
        <scheme val="minor"/>
      </rPr>
      <t>de la(s) Institución(es)</t>
    </r>
    <r>
      <rPr>
        <sz val="11"/>
        <color indexed="8"/>
        <rFont val="Calibri"/>
        <family val="2"/>
        <scheme val="minor"/>
      </rPr>
      <t xml:space="preserve"> que conforma(n) la propuesta debe ser, al menos, el equivalente al porcentaje no financiado por aportes pecuniarios necesarios para lograr, al menos, el 50% de cofinanciamiento del monto de </t>
    </r>
    <r>
      <rPr>
        <b/>
        <sz val="11"/>
        <color indexed="8"/>
        <rFont val="Calibri"/>
        <family val="2"/>
        <scheme val="minor"/>
      </rPr>
      <t>A. Equipamiento</t>
    </r>
    <r>
      <rPr>
        <sz val="11"/>
        <color indexed="8"/>
        <rFont val="Calibri"/>
        <family val="2"/>
        <scheme val="minor"/>
      </rPr>
      <t xml:space="preserve"> y se debe considerar en </t>
    </r>
    <r>
      <rPr>
        <b/>
        <sz val="11"/>
        <color indexed="8"/>
        <rFont val="Calibri"/>
        <family val="2"/>
        <scheme val="minor"/>
      </rPr>
      <t>B.- Traslados e Instalación y/o en C.- Operación</t>
    </r>
    <r>
      <rPr>
        <sz val="11"/>
        <color indexed="8"/>
        <rFont val="Calibri"/>
        <family val="2"/>
        <scheme val="minor"/>
      </rPr>
      <t>.-</t>
    </r>
  </si>
  <si>
    <r>
      <rPr>
        <b/>
        <sz val="11"/>
        <rFont val="Calibri"/>
        <family val="2"/>
        <scheme val="minor"/>
      </rPr>
      <t>5.-</t>
    </r>
    <r>
      <rPr>
        <sz val="11"/>
        <rFont val="Calibri"/>
        <family val="2"/>
        <scheme val="minor"/>
      </rPr>
      <t xml:space="preserve"> En la Hoja </t>
    </r>
    <r>
      <rPr>
        <b/>
        <sz val="11"/>
        <rFont val="Calibri"/>
        <family val="2"/>
        <scheme val="minor"/>
      </rPr>
      <t>DETALLE APORTES</t>
    </r>
    <r>
      <rPr>
        <sz val="11"/>
        <rFont val="Calibri"/>
        <family val="2"/>
        <scheme val="minor"/>
      </rPr>
      <t xml:space="preserve"> </t>
    </r>
    <r>
      <rPr>
        <b/>
        <sz val="11"/>
        <rFont val="Calibri"/>
        <family val="2"/>
        <scheme val="minor"/>
      </rPr>
      <t>ingresar los aportes de las Instituciones</t>
    </r>
    <r>
      <rPr>
        <sz val="11"/>
        <rFont val="Calibri"/>
        <family val="2"/>
        <scheme val="minor"/>
      </rPr>
      <t xml:space="preserve"> Beneficiaria y Asociada(s), cuando corresponda, los cuales están vinculados con la Hoja</t>
    </r>
    <r>
      <rPr>
        <b/>
        <sz val="11"/>
        <rFont val="Calibri"/>
        <family val="2"/>
        <scheme val="minor"/>
      </rPr>
      <t xml:space="preserve"> I.- EQUIPAMIENTO </t>
    </r>
    <r>
      <rPr>
        <sz val="11"/>
        <rFont val="Calibri"/>
        <family val="2"/>
        <scheme val="minor"/>
      </rPr>
      <t>y</t>
    </r>
    <r>
      <rPr>
        <b/>
        <sz val="11"/>
        <rFont val="Calibri"/>
        <family val="2"/>
        <scheme val="minor"/>
      </rPr>
      <t xml:space="preserve"> </t>
    </r>
    <r>
      <rPr>
        <sz val="11"/>
        <rFont val="Calibri"/>
        <family val="2"/>
        <scheme val="minor"/>
      </rPr>
      <t>Hoja</t>
    </r>
    <r>
      <rPr>
        <b/>
        <sz val="11"/>
        <rFont val="Calibri"/>
        <family val="2"/>
        <scheme val="minor"/>
      </rPr>
      <t xml:space="preserve"> II.- TRASLADOS, INST. OPERACIÓN</t>
    </r>
    <r>
      <rPr>
        <sz val="11"/>
        <rFont val="Calibri"/>
        <family val="2"/>
        <scheme val="minor"/>
      </rPr>
      <t xml:space="preserve">.- </t>
    </r>
    <r>
      <rPr>
        <i/>
        <sz val="11"/>
        <rFont val="Calibri"/>
        <family val="2"/>
        <scheme val="minor"/>
      </rPr>
      <t>Si modifica los montos en forma manual de los ítems comprometidos en A.1 Equipo Principal o Plataforma y/o A.2 Accesorio(s) y/o B.1. Traslados, Seguros de Traslado, Desaduanaje e IVA de Equipo y/o B.3. Instalación y Puesta en Marcha de Equipo y/o B.4. Mantención, Garantías y Seguros de Equipo y/o C.1. Capacitaciones, verificar que éstos coincidan con los ingresados en la Hoja I.- EQUIPAMIENTO.-</t>
    </r>
  </si>
  <si>
    <r>
      <rPr>
        <b/>
        <sz val="11"/>
        <color indexed="8"/>
        <rFont val="Calibri"/>
        <family val="2"/>
        <scheme val="minor"/>
      </rPr>
      <t>6.-</t>
    </r>
    <r>
      <rPr>
        <sz val="11"/>
        <color indexed="8"/>
        <rFont val="Calibri"/>
        <family val="2"/>
        <scheme val="minor"/>
      </rPr>
      <t xml:space="preserve"> El Sub-ítem </t>
    </r>
    <r>
      <rPr>
        <b/>
        <sz val="11"/>
        <color indexed="8"/>
        <rFont val="Calibri"/>
        <family val="2"/>
        <scheme val="minor"/>
      </rPr>
      <t>B.4.- Mantención, Garantías y Seguros</t>
    </r>
    <r>
      <rPr>
        <sz val="11"/>
        <color indexed="8"/>
        <rFont val="Calibri"/>
        <family val="2"/>
        <scheme val="minor"/>
      </rPr>
      <t xml:space="preserve"> debe contemplar financiamiento de forma </t>
    </r>
    <r>
      <rPr>
        <b/>
        <sz val="11"/>
        <color indexed="8"/>
        <rFont val="Calibri"/>
        <family val="2"/>
        <scheme val="minor"/>
      </rPr>
      <t>obligatoria</t>
    </r>
    <r>
      <rPr>
        <sz val="11"/>
        <color indexed="8"/>
        <rFont val="Calibri"/>
        <family val="2"/>
        <scheme val="minor"/>
      </rPr>
      <t>, ya sea, solicitado a FONDEQUIP o con Aportes Pecuniarios y/o No Pecuniarios de la(s) Institución(es).-</t>
    </r>
  </si>
  <si>
    <r>
      <rPr>
        <b/>
        <sz val="11"/>
        <color indexed="8"/>
        <rFont val="Calibri"/>
        <family val="2"/>
        <scheme val="minor"/>
      </rPr>
      <t>7.-</t>
    </r>
    <r>
      <rPr>
        <sz val="11"/>
        <color indexed="8"/>
        <rFont val="Calibri"/>
        <family val="2"/>
        <scheme val="minor"/>
      </rPr>
      <t xml:space="preserve"> El </t>
    </r>
    <r>
      <rPr>
        <b/>
        <sz val="11"/>
        <color indexed="8"/>
        <rFont val="Calibri"/>
        <family val="2"/>
        <scheme val="minor"/>
      </rPr>
      <t>Monto total solicitado a FONDEQUIP</t>
    </r>
    <r>
      <rPr>
        <sz val="11"/>
        <color indexed="8"/>
        <rFont val="Calibri"/>
        <family val="2"/>
        <scheme val="minor"/>
      </rPr>
      <t xml:space="preserve"> no puede ser mayor a</t>
    </r>
    <r>
      <rPr>
        <b/>
        <sz val="11"/>
        <color indexed="8"/>
        <rFont val="Calibri"/>
        <family val="2"/>
        <scheme val="minor"/>
      </rPr>
      <t xml:space="preserve"> $400.000.000 (cuatrocientos millones de pesos)</t>
    </r>
    <r>
      <rPr>
        <sz val="11"/>
        <color indexed="8"/>
        <rFont val="Calibri"/>
        <family val="2"/>
        <scheme val="minor"/>
      </rPr>
      <t xml:space="preserve">.- </t>
    </r>
  </si>
  <si>
    <r>
      <rPr>
        <b/>
        <sz val="11"/>
        <rFont val="Calibri"/>
        <family val="2"/>
        <scheme val="minor"/>
      </rPr>
      <t>8</t>
    </r>
    <r>
      <rPr>
        <sz val="11"/>
        <rFont val="Calibri"/>
        <family val="2"/>
        <scheme val="minor"/>
      </rPr>
      <t xml:space="preserve">.- En la Hoja </t>
    </r>
    <r>
      <rPr>
        <b/>
        <sz val="11"/>
        <rFont val="Calibri"/>
        <family val="2"/>
        <scheme val="minor"/>
      </rPr>
      <t>DETALLE PRESUPUESTO</t>
    </r>
    <r>
      <rPr>
        <sz val="11"/>
        <rFont val="Calibri"/>
        <family val="2"/>
        <scheme val="minor"/>
      </rPr>
      <t xml:space="preserve"> se deben desglosar los montos y explicar brevemente cada Sub-ítem del Presupuesto correspondiente a los aportes FONDEQUIP, Pecuniarios y No Pecuniarios, lo cual debe ser consecuente con la propuesta.</t>
    </r>
  </si>
  <si>
    <t>ACTA DE COTIZACIONES</t>
  </si>
  <si>
    <t>OBSERVACIONES</t>
  </si>
  <si>
    <t>CONSIDERAR:</t>
  </si>
  <si>
    <t>1.- Completar solamente las celdas en color CELESTE.
2.- Ingresar el monto del Equipo, Pataforma y Accesorio(s) indicado en la(s) cotización(es) respectiva(s), pudiendo considerar o no el IVA.- 
3.- Puede utilizar la sección COTIZACIÓN PRESENTADA PARA EQUIPO PRINCIPAL o COTIZACIÓN PRESENTADA PARA PLATAFORMA DE EQUIPOS.
4.- La(s) cotización(es) señalada(s) para justificar el monto solicitado en A. Equipamiento, debe(n) ser la(s) misma(s) adjuntada(s) en la Plataforma de Postulación (Etapa FORMULACIÓN / Cotizaciones) y corresponder a la misma configuración del equipamiento postulado.</t>
  </si>
  <si>
    <t xml:space="preserve">1.  Indicar el Tipo de Cambio utilizado cuando se trate de "Otra Moneda". </t>
  </si>
  <si>
    <t>Tipo de cambio utilizado (Pesos $)</t>
  </si>
  <si>
    <t>2. Seleccionar de la lista deplegable la moneda en la cual se expresan los montos en la Cotización. Se calculará automáticamente el monto equivalente en Pesos Chilenos ($).</t>
  </si>
  <si>
    <t>Dólar</t>
  </si>
  <si>
    <t>Euro</t>
  </si>
  <si>
    <t>Pesos</t>
  </si>
  <si>
    <t>Otra Moneda</t>
  </si>
  <si>
    <t>COTIZACIÓN PRESENTADA PARA EQUIPO PRINCIPAL</t>
  </si>
  <si>
    <t>N° de Cotización</t>
  </si>
  <si>
    <t>Monto Cotización</t>
  </si>
  <si>
    <t>Monto $</t>
  </si>
  <si>
    <t>Total $</t>
  </si>
  <si>
    <t>Nombre Proveedor</t>
  </si>
  <si>
    <t>A. EQUIPAMIENTO</t>
  </si>
  <si>
    <t>A.1. Equipo Principal</t>
  </si>
  <si>
    <t>A.2. Accesorio(s)</t>
  </si>
  <si>
    <t>COTIZACIÓN PRESENTADA PARA PLATAFORMA DE EQUIPOS</t>
  </si>
  <si>
    <t>A.1. Plataforma - Equipo 1</t>
  </si>
  <si>
    <t xml:space="preserve">C_Pri_01: OP5033XG - Real-Time Simulator - 16 cores / 3.3 GHz </t>
  </si>
  <si>
    <t>OPAL-RT</t>
  </si>
  <si>
    <t>A.1. Plataforma - Equipo 2</t>
  </si>
  <si>
    <t xml:space="preserve">C_Pri_01: OP4810-IO VERSAL® FPGA Processor VM1302 703k &amp; IO | 64 DIO/64 (incluye Sinchronization kit, PCIe Kit, Quad port Eth switch </t>
  </si>
  <si>
    <t>A.1. Plataforma - Equipo 3</t>
  </si>
  <si>
    <t>C_Pri_01: Phil Prime Test Bench - 15kW</t>
  </si>
  <si>
    <t>A.1. Plataforma - Equipo 4</t>
  </si>
  <si>
    <t>C_Pri_01: RT-LAB Software package (Host/work station License + Artemis -FXG Max node locked first license)</t>
  </si>
  <si>
    <t>A.1. Plataforma - Equipo 5</t>
  </si>
  <si>
    <t>C_Pri_01: Artemis-Target Simulation additional license</t>
  </si>
  <si>
    <t>A.1. Plataforma - Equipo 6</t>
  </si>
  <si>
    <t>C_Pri_01: Communication and I/O drivers (DNP3 Master-Slave, IEC 61850 Bundle, Additional I/O Data, Scope View,  eHS- Target Simulation FPGA)</t>
  </si>
  <si>
    <t>A.1. Plataforma - Equipo 7</t>
  </si>
  <si>
    <t xml:space="preserve">C_Pri_01: Exata CPS Educational Bundle </t>
  </si>
  <si>
    <t>A.1. Plataforma - Equipo 8</t>
  </si>
  <si>
    <t>C_Pri_02: Servidor DELL Power Edge R760XS</t>
  </si>
  <si>
    <t>Winpy SPA 
**Cotización en CLP**</t>
  </si>
  <si>
    <t>A.1. Plataforma - Equipo 9</t>
  </si>
  <si>
    <t>A.1. Plataforma - Equipo 10</t>
  </si>
  <si>
    <t>C_ACC_03 - TRANSFORMADOR TRIFASICO AISLACION
380/380-220 VAC D.Y 10 KVA 50/60 HZ C/PANTALLA
ELECTROSTATICA (Incluye gabinete y despacho)</t>
  </si>
  <si>
    <t>Kontinua SPA 
**Cotización en CLP**</t>
  </si>
  <si>
    <t>JUSTIFICACIÓN DEL EQUIPAMIENTO POSTULADO</t>
  </si>
  <si>
    <r>
      <t xml:space="preserve">Justifique la elección de la cotización respecto a otros proveedores y a tecnologías similares disponibles en el Mercado:
</t>
    </r>
    <r>
      <rPr>
        <sz val="11"/>
        <color rgb="FF000000"/>
        <rFont val="Calibri"/>
        <family val="2"/>
        <scheme val="minor"/>
      </rPr>
      <t>La plataforma requerida consta de un computador de tiempo real (OPAL-RT OP5033XG) de última generación, que en conjunto con el software ARTEMIS permite la compilación óptima de modelos de redes eléctricas de gran escala para su simulación EMT-TS en al menos dos núcleos de su procesador (Intel Xeon 16 cores 3.3 GHz), permitiendo obtener resultados más precisos en menor tiempo.
De forma complementaria, el emulador de redes de comunicaciones EXata CPS permite generar redes de datos virtuales que repliquen el comportamiento real del flujo de información entre agentes de la red inteligente, tales como los PMGD o dispositivos de protección, ya sea de forma individual o integrados en microrredes. Este emulador permite simular patrones de tráfico de datos realistas haciendo uso de protocolos de comunicación industriales, habilitando la interoperabilidad con dispositivos externos.
Dada la alta carga computacional de los esquemas de control distribuido, se requiere de un servidor adicional de última generación para cómputo de alto desempeño (DELL PowerEdge R760XS o similar), el cual permite ejecutar hilos independientes en los núcleos de sus procesadores, de tal forma que cada hilo corresponda a un controlador asociado a un elemento de la red eléctrica. Esto posibilita un control más preciso y granular, en línea con las arquitecturas jerárquicas de microrredes modernas, sin necesidad de contar con hardware dedicado para cada elemento de la red.
La operación sincronizada de señales analógicas y digitales a alta velocidad será soportada mediante el uso del OP4810-IO VERSAL® FPGA Processor, el cual permite gestionar hasta 64 canales de entradas y salidas con una capacidad de muestreo de hasta 10 mega samples por segundo. Este procesador es esencial para el modelado preciso de fenómenos de alta frecuencia y validaciones hardware-in-the-loop (HIL) con sistemas de protección, controladores embebidos y equipos de electrónica de potencia.
Para completar la validación experimental de los modelos y controladores en ambientes de baja tensión, la plataforma incluirá el PHIL PRIME TEST BENCH - 15 kW, compuesto por conversores de 4 cuadrantes que permiten la ejecución de pruebas de potencia bidireccionales. Este banco de pruebas es esencial para verificar el desempeño de controladores de PMGD, controladores a escala de DNO y esquemas de respuesta en condiciones dinámicas, en concordancia con la filosofía Power Hardware-In-the-Loop (PHIL).
Finalmente, dada la naturaleza ciber-física de los experimentos a desarrollar, se incorporan drivers que permiten la implementación de protocolos industriales como IEC61850 y DNP3.0, asegurando la interoperabilidad, compatibilidad y validación tecnológica frente a dispositivos reales como relevos de protección, plataformas SCADA, reconectadores y otros elementos típicos de una subestación digital.</t>
    </r>
    <r>
      <rPr>
        <b/>
        <u/>
        <sz val="11"/>
        <color rgb="FF000000"/>
        <rFont val="Calibri"/>
        <family val="2"/>
        <scheme val="minor"/>
      </rPr>
      <t xml:space="preserve">
</t>
    </r>
  </si>
  <si>
    <t>1.- INGRESE MONTO DEL EQUIPAMIENTO Y/O ACCESORIO(S)</t>
  </si>
  <si>
    <t>Monto ($)</t>
  </si>
  <si>
    <t>VERIFICACION</t>
  </si>
  <si>
    <r>
      <t xml:space="preserve">La suma de ambos Sub-ítems: A.1. Equipo Principal o Plataforma + A.2. Accesorio(s), debe ser igual o mayor a </t>
    </r>
    <r>
      <rPr>
        <b/>
        <sz val="11"/>
        <color indexed="8"/>
        <rFont val="Calibri"/>
        <family val="2"/>
        <scheme val="minor"/>
      </rPr>
      <t>$50.000.000</t>
    </r>
    <r>
      <rPr>
        <sz val="11"/>
        <color indexed="8"/>
        <rFont val="Calibri"/>
        <family val="2"/>
        <scheme val="minor"/>
      </rPr>
      <t xml:space="preserve"> (cincuenta millones de pesos).</t>
    </r>
  </si>
  <si>
    <t>A.1 Equipo Principal o Plataforma</t>
  </si>
  <si>
    <t>Ingrese el monto total del Equipo Principal o Plataforma y/o Accesorio(s).
El cuadro de verificación debe estar en color VERDE, para continuar con el Aporte Pecuniario Institucional.-</t>
  </si>
  <si>
    <t>A.2 Accesorio(s)</t>
  </si>
  <si>
    <t>2.- INGRESE APORTE PECUNIARIO INSTITUCIONAL</t>
  </si>
  <si>
    <r>
      <t xml:space="preserve">La suma de los </t>
    </r>
    <r>
      <rPr>
        <b/>
        <sz val="11"/>
        <color theme="1"/>
        <rFont val="Calibri"/>
        <family val="2"/>
        <scheme val="minor"/>
      </rPr>
      <t>Aportes Pecuniarios</t>
    </r>
    <r>
      <rPr>
        <sz val="11"/>
        <color theme="1"/>
        <rFont val="Calibri"/>
        <family val="2"/>
        <scheme val="minor"/>
      </rPr>
      <t xml:space="preserve"> comprometidos en A.1 Equipo Principal o Plataforma y/o A.2 Accesorio(s) y/o B.1. Traslados, Seguros de Traslado, Desaduanaje e IVA de Equipo y/o B.3. Instalación y Puesta en Marcha de Equipo y/o B.4. Mantención, Garantías y Seguros de Equipo y/o C.1. Capacitaciones, </t>
    </r>
    <r>
      <rPr>
        <b/>
        <sz val="11"/>
        <color theme="1"/>
        <rFont val="Calibri"/>
        <family val="2"/>
        <scheme val="minor"/>
      </rPr>
      <t xml:space="preserve">no puede ser menor al </t>
    </r>
    <r>
      <rPr>
        <b/>
        <sz val="11"/>
        <color indexed="8"/>
        <rFont val="Calibri"/>
        <family val="2"/>
        <scheme val="minor"/>
      </rPr>
      <t>10% del Monto Total de A.- Equipamiento (Equipo Principal o Plataforma + Accesorio(s)).</t>
    </r>
    <r>
      <rPr>
        <sz val="11"/>
        <color indexed="8"/>
        <rFont val="Calibri"/>
        <family val="2"/>
        <scheme val="minor"/>
      </rPr>
      <t xml:space="preserve">
FONDEQUIP financia hasta</t>
    </r>
    <r>
      <rPr>
        <b/>
        <sz val="11"/>
        <color indexed="8"/>
        <rFont val="Calibri"/>
        <family val="2"/>
        <scheme val="minor"/>
      </rPr>
      <t xml:space="preserve"> $400.000.000</t>
    </r>
    <r>
      <rPr>
        <sz val="11"/>
        <color indexed="8"/>
        <rFont val="Calibri"/>
        <family val="2"/>
        <scheme val="minor"/>
      </rPr>
      <t xml:space="preserve"> (cuatrocientos millones de pesos), si existe diferencia por un mayor costo del equipamiento, ésta debe ser asumida por la(s) Institución(es).</t>
    </r>
  </si>
  <si>
    <t>Una vez ingresado el monto del Equipamiento, ingrese el Aporte Pecunairo Institucional, el cual no puede ser menor al 10% del monto de A. Equipamiento y puede ser comprometidos en los siguientes sub-ítems:
A.1 Equipo Principal o Plataforma
A.2 Accesorio(s)
B.1. Traslados, Seguros de Traslado, Desaduanaje e IVA de Equipo
B.3. Instalación y Puesta en Marcha de Equipo
B.4. Mantención, Garantías y Seguros de Equipo
C.1. Capacitaciones</t>
  </si>
  <si>
    <t>B.1. Traslados, Seguros de Traslado, Desaduanaje e IVA de Equipo</t>
  </si>
  <si>
    <t>B.3. Instalación y Puesta en Marcha de Equipo</t>
  </si>
  <si>
    <t>B.4. Mantención, Garantías y Seguros de Equipo</t>
  </si>
  <si>
    <t>C.1. Capacitaciones</t>
  </si>
  <si>
    <t xml:space="preserve"> Cuando el Monto de aporte Solicitado a FONDEQUIP se encuentre aceptado, la celda de verificación debe estar en VERDE.</t>
  </si>
  <si>
    <t>3. INGRESE LOS MONTOS SOLICITADOS A FONDEQUIP PARA EL SUB-ÍTEM B. TRASLADOS E INSTALACIÓN EN LAS CELDAS CORRESPONDIENTES. 
    LOS APORTES INSTITUCIONALES ESTÁN VINCULADOS CON LA HOJA "I.- EQUIPAMIENTO" Y "DETALLE APORTES".-</t>
  </si>
  <si>
    <t>Montos Solicitados a FONDEQUIP</t>
  </si>
  <si>
    <t>Montos Aportados por la(s) Institución(es)</t>
  </si>
  <si>
    <t>CONSIDERACIONES</t>
  </si>
  <si>
    <t>Aporte Pecuniario</t>
  </si>
  <si>
    <t>Aporte No Pecuniario</t>
  </si>
  <si>
    <r>
      <t xml:space="preserve">1.- Si en </t>
    </r>
    <r>
      <rPr>
        <b/>
        <sz val="10.5"/>
        <rFont val="Calibri"/>
        <family val="2"/>
        <scheme val="minor"/>
      </rPr>
      <t>A. Equipamiento</t>
    </r>
    <r>
      <rPr>
        <sz val="10.5"/>
        <rFont val="Calibri"/>
        <family val="2"/>
        <scheme val="minor"/>
      </rPr>
      <t xml:space="preserve"> solicitó a FONDEQUIP el máximo de recursos que puede aportar por proyecto por </t>
    </r>
    <r>
      <rPr>
        <b/>
        <sz val="10.5"/>
        <rFont val="Calibri"/>
        <family val="2"/>
        <scheme val="minor"/>
      </rPr>
      <t>$400.000.000</t>
    </r>
    <r>
      <rPr>
        <sz val="10.5"/>
        <rFont val="Calibri"/>
        <family val="2"/>
        <scheme val="minor"/>
      </rPr>
      <t xml:space="preserve">, no puede solicitar financiamiento para los Sub-ítems de </t>
    </r>
    <r>
      <rPr>
        <b/>
        <sz val="10.5"/>
        <rFont val="Calibri"/>
        <family val="2"/>
        <scheme val="minor"/>
      </rPr>
      <t>B. Traslados e Instalación.</t>
    </r>
  </si>
  <si>
    <t>A.1. Equipo Principal o Plataforma</t>
  </si>
  <si>
    <t>NO APLICA</t>
  </si>
  <si>
    <t xml:space="preserve">A.2. Accesorio(s) </t>
  </si>
  <si>
    <r>
      <t xml:space="preserve">2.- El </t>
    </r>
    <r>
      <rPr>
        <b/>
        <sz val="10.5"/>
        <rFont val="Calibri"/>
        <family val="2"/>
        <scheme val="minor"/>
      </rPr>
      <t>Sub-ítem Mantención, Garantías y Seguros</t>
    </r>
    <r>
      <rPr>
        <sz val="10.5"/>
        <rFont val="Calibri"/>
        <family val="2"/>
        <scheme val="minor"/>
      </rPr>
      <t xml:space="preserve"> debe contemplar financiamiento, ya sea por FONDEQUIP y/o por la(s) Institución(es) Beneficiaria y Asociada(s), si corresponde (Pecuniario y/o No Pecuniario).</t>
    </r>
  </si>
  <si>
    <t>B.2. Adecuación Espacio para Equipo</t>
  </si>
  <si>
    <t>3.- Se recomienda incorporar el equipo a la póliza de seguro institucional (Aporte No Pecuniario).</t>
  </si>
  <si>
    <r>
      <t xml:space="preserve">4.- El </t>
    </r>
    <r>
      <rPr>
        <b/>
        <sz val="10.5"/>
        <rFont val="Calibri"/>
        <family val="2"/>
        <scheme val="minor"/>
      </rPr>
      <t>Aporte No Pecuniario</t>
    </r>
    <r>
      <rPr>
        <sz val="10.5"/>
        <rFont val="Calibri"/>
        <family val="2"/>
        <scheme val="minor"/>
      </rPr>
      <t xml:space="preserve"> debe ser, al menos, el equivalente al porcentaje no financiado por aportes pecuniarios, necesarios para cumplir con el mínimo del 50% de cofinanciamiento del monto total de </t>
    </r>
    <r>
      <rPr>
        <b/>
        <sz val="10.5"/>
        <rFont val="Calibri"/>
        <family val="2"/>
        <scheme val="minor"/>
      </rPr>
      <t>A. Equipamiento</t>
    </r>
    <r>
      <rPr>
        <sz val="10.5"/>
        <rFont val="Calibri"/>
        <family val="2"/>
        <scheme val="minor"/>
      </rPr>
      <t>.</t>
    </r>
  </si>
  <si>
    <t>C.2. Otros Gastos de Operación</t>
  </si>
  <si>
    <t>C.3. Gastos Administración</t>
  </si>
  <si>
    <t xml:space="preserve"> Cuando los Montos de los aportes, tanto de FONDEQUIP como de la(s) Institución(es), cumplan con las reglas de financiamiento y co-financiamiento establecidas por bases, las celdas de VERIFICACIÓN DE APORTES estarán en VERDE. No deben existir alertas en ROJO.</t>
  </si>
  <si>
    <t>TOTALES</t>
  </si>
  <si>
    <t>TOTAL A. EQUIPAMIENTO</t>
  </si>
  <si>
    <t>MÍNIMO APORTES = 50% DEL MONTO TOTAL DE A. EQUIPAMIENTO</t>
  </si>
  <si>
    <t>TOTAL PECUNIARIO + TOTAL NO PECUNIARIO</t>
  </si>
  <si>
    <t>APORTE FONDEQUIP A. EQUIPAMIENTO</t>
  </si>
  <si>
    <t>MÁXIMO A FINANCIAR B. TRASLADOS E INSTALACIÓN</t>
  </si>
  <si>
    <t>TOTAL B. TRASLADOS E INSTALACIÓN</t>
  </si>
  <si>
    <t>% DE A. EQUIPAMIENTO</t>
  </si>
  <si>
    <t>DETALLE APORTES INSTITUCIONALES</t>
  </si>
  <si>
    <t>Total APORTES al Proyecto</t>
  </si>
  <si>
    <t>Montos aportados por la INSTITUCIÓN BENEFICIARIA</t>
  </si>
  <si>
    <t>Montos aportados por la INSTITUCIÓN ASOCIADA 1</t>
  </si>
  <si>
    <t>Montos aportados por la INSTITUCIÓN ASOCIADA 2</t>
  </si>
  <si>
    <t>Montos aportados por la INSTITUCIÓN ASOCIADA 3</t>
  </si>
  <si>
    <t>Montos aportados por la INSTITUCIÓN ASOCIADA 4</t>
  </si>
  <si>
    <t>Montos aportados por la INSTITUCIÓN ASOCIADA 5</t>
  </si>
  <si>
    <t>Ítem</t>
  </si>
  <si>
    <t>Conjunto Sub-Ítem</t>
  </si>
  <si>
    <t>Sub-Ítem</t>
  </si>
  <si>
    <t>Pecuniario</t>
  </si>
  <si>
    <t>No Pecuniario</t>
  </si>
  <si>
    <t>EQUIPAMIENTO</t>
  </si>
  <si>
    <t>A</t>
  </si>
  <si>
    <t>B</t>
  </si>
  <si>
    <t>TRASLADOS e INSTALACION</t>
  </si>
  <si>
    <t>G. DE OPERACIÓN</t>
  </si>
  <si>
    <t>C</t>
  </si>
  <si>
    <t>OPERACIÓN</t>
  </si>
  <si>
    <t>C.3. Gastos de Administración</t>
  </si>
  <si>
    <t>PRESUPUESTO FINAL</t>
  </si>
  <si>
    <t>Si existen celdas con alertas en ROJO, significa que su presupuesto no cumple con las reglas establecidas por Bases (Inadmisible).-</t>
  </si>
  <si>
    <t>Costo Total del
Proyecto</t>
  </si>
  <si>
    <t>Montos solicitados a FONDEQUIP</t>
  </si>
  <si>
    <t>Montos aportados por la(s) INSTITUCIÓN(ES)</t>
  </si>
  <si>
    <t>TRASLADOS e INSTALACIÓN</t>
  </si>
  <si>
    <t>(NO COMPLETAR O MODIFICAR)</t>
  </si>
  <si>
    <t>DETALLE PRESUPUESTO</t>
  </si>
  <si>
    <t>Sub-ítem</t>
  </si>
  <si>
    <t>Costo Total del Proyecto</t>
  </si>
  <si>
    <t>Desglose los montos y explique brevemente cada Sub-ítem del Presupuesto, debe referirse a los aportes FONDEQUIP, Pecuniarios y No Pecuniarios.</t>
  </si>
  <si>
    <r>
      <rPr>
        <b/>
        <u/>
        <sz val="11"/>
        <color theme="1"/>
        <rFont val="Calibri"/>
        <family val="2"/>
        <scheme val="minor"/>
      </rPr>
      <t>Detalle Aportes FONDEQUIP</t>
    </r>
    <r>
      <rPr>
        <sz val="11"/>
        <color theme="1"/>
        <rFont val="Calibri"/>
        <family val="2"/>
        <scheme val="minor"/>
      </rPr>
      <t xml:space="preserve">: 
</t>
    </r>
    <r>
      <rPr>
        <sz val="10.5"/>
        <color theme="1"/>
        <rFont val="Calibri"/>
        <family val="2"/>
        <scheme val="minor"/>
      </rPr>
      <t xml:space="preserve">Se le solicita a OPAL, único proveedor de equipamiento de este tipo, uso de incoterm CIP, es decir la cotización elegida incluye el traslado de equipos hasta Chile, pero no su desaduanaje, ni su entrega en el campus de la UNAB. 
</t>
    </r>
  </si>
  <si>
    <r>
      <rPr>
        <b/>
        <u/>
        <sz val="11"/>
        <color theme="1"/>
        <rFont val="Calibri"/>
        <family val="2"/>
        <scheme val="minor"/>
      </rPr>
      <t>Detalle Aportes Pecuniarios</t>
    </r>
    <r>
      <rPr>
        <sz val="10.5"/>
        <color theme="1"/>
        <rFont val="Calibri"/>
        <family val="2"/>
        <scheme val="minor"/>
      </rPr>
      <t xml:space="preserve">:
El costo asociado a internación y transporte en Chile se encuentran considerado en el item B1 de la plantilla de presupuesto y fue calculado como el 40%+IVA del hardware a importar.
</t>
    </r>
  </si>
  <si>
    <r>
      <rPr>
        <b/>
        <u/>
        <sz val="11"/>
        <color theme="1"/>
        <rFont val="Calibri"/>
        <family val="2"/>
        <scheme val="minor"/>
      </rPr>
      <t>Detalle Aportes No Pecuniarios</t>
    </r>
    <r>
      <rPr>
        <sz val="10.5"/>
        <color theme="1"/>
        <rFont val="Calibri"/>
        <family val="2"/>
        <scheme val="minor"/>
      </rPr>
      <t xml:space="preserve">:
</t>
    </r>
  </si>
  <si>
    <r>
      <rPr>
        <b/>
        <u/>
        <sz val="11"/>
        <color theme="1"/>
        <rFont val="Calibri"/>
        <family val="2"/>
        <scheme val="minor"/>
      </rPr>
      <t>Detalle Aportes FONDEQUIP</t>
    </r>
    <r>
      <rPr>
        <sz val="11"/>
        <color theme="1"/>
        <rFont val="Calibri"/>
        <family val="2"/>
        <scheme val="minor"/>
      </rPr>
      <t xml:space="preserve">: 
</t>
    </r>
    <r>
      <rPr>
        <sz val="10.5"/>
        <color theme="1"/>
        <rFont val="Calibri"/>
        <family val="2"/>
        <scheme val="minor"/>
      </rPr>
      <t xml:space="preserve">
</t>
    </r>
  </si>
  <si>
    <r>
      <rPr>
        <b/>
        <u/>
        <sz val="11"/>
        <color theme="1"/>
        <rFont val="Calibri"/>
        <family val="2"/>
        <scheme val="minor"/>
      </rPr>
      <t>Detalle Aportes Pecuniarios</t>
    </r>
    <r>
      <rPr>
        <sz val="10.5"/>
        <color theme="1"/>
        <rFont val="Calibri"/>
        <family val="2"/>
        <scheme val="minor"/>
      </rPr>
      <t xml:space="preserve">:
Para la correcta operación de la etapa de potencia de la plataforma se debe adecuar parte de la infraestructura del CTE-UNAB (item B2). Estas actividades contemplan el ajuste de planos eléctricos, cableado, instalación de tomas, tablero de distribución adicional y adecuación de la red eléctrica actual del centro para que sea posible tener diferentes puntos de conexión a la red de pruebas. 
</t>
    </r>
  </si>
  <si>
    <r>
      <rPr>
        <b/>
        <u/>
        <sz val="11"/>
        <color theme="1"/>
        <rFont val="Calibri"/>
        <family val="2"/>
        <scheme val="minor"/>
      </rPr>
      <t>Detalle Aportes Pecuniarios</t>
    </r>
    <r>
      <rPr>
        <sz val="10.5"/>
        <color theme="1"/>
        <rFont val="Calibri"/>
        <family val="2"/>
        <scheme val="minor"/>
      </rPr>
      <t xml:space="preserve">:
Los insumos fungibles asociados a estas labores de adecuación se incluyen en el ítem B3, al igual que la placa de referencia al proyecto Fondequip.
</t>
    </r>
  </si>
  <si>
    <r>
      <rPr>
        <b/>
        <u/>
        <sz val="11"/>
        <color theme="1"/>
        <rFont val="Calibri"/>
        <family val="2"/>
        <scheme val="minor"/>
      </rPr>
      <t>Detalle Aportes FONDEQUIP</t>
    </r>
    <r>
      <rPr>
        <sz val="11"/>
        <color theme="1"/>
        <rFont val="Calibri"/>
        <family val="2"/>
        <scheme val="minor"/>
      </rPr>
      <t xml:space="preserve">: 
</t>
    </r>
    <r>
      <rPr>
        <sz val="10.5"/>
        <color theme="1"/>
        <rFont val="Calibri"/>
        <family val="2"/>
        <scheme val="minor"/>
      </rPr>
      <t xml:space="preserve">El plan de mantenimiento de la plataforma de emulación, solicitado en el sub-ítem B4, se extiende por un periodo de 5 años y es incluido libre de costo para los clientes académicos de OPAL-RT. Este plan contempla la actualización de software y firmware, al igual que asistencia técnica permanente de forma remota.
</t>
    </r>
  </si>
  <si>
    <r>
      <rPr>
        <b/>
        <u/>
        <sz val="11"/>
        <color theme="1"/>
        <rFont val="Calibri"/>
        <family val="2"/>
        <scheme val="minor"/>
      </rPr>
      <t>Detalle Aportes Pecuniarios</t>
    </r>
    <r>
      <rPr>
        <sz val="10.5"/>
        <color theme="1"/>
        <rFont val="Calibri"/>
        <family val="2"/>
        <scheme val="minor"/>
      </rPr>
      <t xml:space="preserve">:
</t>
    </r>
    <r>
      <rPr>
        <sz val="10.5"/>
        <color theme="1"/>
        <rFont val="Calibri"/>
        <family val="2"/>
        <scheme val="minor"/>
      </rPr>
      <t xml:space="preserve">
</t>
    </r>
  </si>
  <si>
    <r>
      <rPr>
        <b/>
        <u/>
        <sz val="11"/>
        <color theme="1"/>
        <rFont val="Calibri"/>
        <family val="2"/>
        <scheme val="minor"/>
      </rPr>
      <t>Detalle Aportes No Pecuniarios</t>
    </r>
    <r>
      <rPr>
        <sz val="10.5"/>
        <color theme="1"/>
        <rFont val="Calibri"/>
        <family val="2"/>
        <scheme val="minor"/>
      </rPr>
      <t xml:space="preserve">:
Los costos de integración a la póliza de seguro de bienes institucionales serán cubiertos de manera no pecuniaria por la UNAB y fueron calculados como el 0.1755% del costo del equipamiento solicitado (plataforma y accesorios) incluyendo el IVA.
</t>
    </r>
  </si>
  <si>
    <t>GASTOS DE OPERACIÓN</t>
  </si>
  <si>
    <r>
      <rPr>
        <b/>
        <u/>
        <sz val="11"/>
        <color theme="1"/>
        <rFont val="Calibri"/>
        <family val="2"/>
        <scheme val="minor"/>
      </rPr>
      <t>Detalle Aportes Pecuniarios</t>
    </r>
    <r>
      <rPr>
        <sz val="10.5"/>
        <color theme="1"/>
        <rFont val="Calibri"/>
        <family val="2"/>
        <scheme val="minor"/>
      </rPr>
      <t>:
El costo asociado a capacitaciones (Item C1) de OPAL y Keysight para el uso adecuado de la plataforma será cubierto como aporte pecuniario de la UNAB al proyecto. La capacitación asociada al hardware instalado y al software Artemis (7 días) será impartida en las instalaciones de la UNAB de manera presencial y servirá para validar la puesta en marcha de la plataforma. El costo incluye el material de apoyo, traslado y gastos de viaje de cada instructor. Por su parte, la capacitación relacionada con el emulador de redes de datos Exata (3 días) será impartida por el fabricante de forma remota, luego de la adquisición de la plataforma con la segunda cuota anual, pero previo al cierre de la primera fase del proyecto (18 meses). En ambas capacitaciones se incluirá al ingeniero de laboratorio CTE-UNAB, al investigador responsable del proyecto y a investigadores o estudiantes vinculados al CTE-UNAB. 
El costo referido incluye tiquetes en clase económica y gastos de viaje para los instructores de OPAL y Keysight, verificación de cableado e instalación previa a la puesta en marcha del equipamiento, material de apoyo y certificación.</t>
    </r>
  </si>
  <si>
    <r>
      <rPr>
        <b/>
        <u/>
        <sz val="11"/>
        <color theme="1"/>
        <rFont val="Calibri"/>
        <family val="2"/>
        <scheme val="minor"/>
      </rPr>
      <t>Detalle Aportes No Pecuniarios</t>
    </r>
    <r>
      <rPr>
        <sz val="10.5"/>
        <color theme="1"/>
        <rFont val="Calibri"/>
        <family val="2"/>
        <scheme val="minor"/>
      </rPr>
      <t>:
Tal como las bases lo permiten, posterior a la puesta en marcha y a la capacitación realizada por fábrica, el ingeniero de laboratorio CTE-UNAB y el investigador responsable serán los encargados de capacitar a investigadores y estudiantes CTE-UNAB o visitantes de las instituciones asociadas que hagan uso del equipamiento. El tiempo total de capacitación a personal nuevo, hace parte del aporte no pecuniario UNAB y se estima como el equivalente a 14 horas mes durante los 12 meses de ejecución de la primera etapa del proyecto (9 h/mes investigador + 5h/mes ingeniero de laboratorio CTE-UNAB). Este entrenamiento estará orientado a las normas de seguridad, manejo adecuado del hardware, buenas prácticas en el manejo del software y arquitectura y manejo del testbench propuesto en la línea de investigación 1. 
Monto: CLP$2.180.000. Se estiman 9 horas/mes para el coordinador del proyecto (15.555,56 CLP/hora * 9 horas/mes * 12 meses = 1.680.000 CLP) y 5 horas/mes para el ingeniero del laboratorio (8.333,33 CLP/hora*5 horas/mes*12 meses= 500.000 CLP).</t>
    </r>
  </si>
  <si>
    <r>
      <rPr>
        <b/>
        <u/>
        <sz val="11"/>
        <color theme="1"/>
        <rFont val="Calibri"/>
        <family val="2"/>
        <scheme val="minor"/>
      </rPr>
      <t>Detalle Aportes No Pecuniarios</t>
    </r>
    <r>
      <rPr>
        <sz val="10.5"/>
        <color theme="1"/>
        <rFont val="Calibri"/>
        <family val="2"/>
        <scheme val="minor"/>
      </rPr>
      <t>:
Los gastos de operación son considerados como aportes no pecuniarios de la UNAB, y se relacionan con parte la nómina fija del centro. Para el sub-ítem C2, se contempla una valoración conjunta del espacio y equipamiento con el que cuenta el centro y que se detalla a continuación (Monto CLP$51.189.544): 
- Valor factura equipos CTE a utilizar en el proyecto CLP$37.720.783 con vida útil estimada de 3 años y un porcentaje de uso de 50%. Se considera un periodo de 20 meses de uso debido a que se requieren para la instalación y puesta en marcha del equipamiento. Total CLP$10.477.995.
- Valorización de uso de espacio cálculada en función del total de metros cuadrados útiles del edificio A2 del campus Antonio Varas UNAB (11.228 m2), valor del avalúo actual del edificio (CLP$8.706.643.206), espacio asignado al CTE (175m2) y considerando 30% de uso de espacio a lo largo del proyecto. Total CLP$ 40.711.549.
Para la correcta operación del equipamiento, el ingeniero del laboratorio deberá destinar alrededor de 324 horas a lo largo de los 12 meses de la segunda etapa, orientadas a inspección de la red eléctrica y mantención básica, desarrollo de procedimientos, inventario y registro de uso (8.333,33 CLP/hora*27 horas/mes*12 meses= 2.700.000 CLP). Adicionalmente, en este mismo periodo, se consideran 216 horas para el coordinador del proyecto. Estas horas incluyen labores de coordinación del proyecto (solo para el coordinador) (15.555,56 CLP/hora*18 horas/mes*12 meses = 3.360.000 CLP). El monto total por otros gastos de operación asociados al coordinador e ingeniero es de 6.060.000 CLP. Adicionalmente, se contemplan 3.00.000,00 CLP para fungibles de mantenimiento menor e insumos de oficina (cables, punteras, amarras plásticas, resmas de papel, tinta impresora, etc) y CLP$4.000.000 para gastos de difusión del equipamiento durante el seminario anual que realiza el CTE-UNAB.
Para mayor detalle de la memoria de cálculo, revisar Tabla 2 y Tabla 3 presentadas en el documento de formulación del proyecto.</t>
    </r>
  </si>
  <si>
    <r>
      <rPr>
        <b/>
        <u/>
        <sz val="11"/>
        <color theme="1"/>
        <rFont val="Calibri"/>
        <family val="2"/>
        <scheme val="minor"/>
      </rPr>
      <t>Detalle Aportes No Pecuniarios</t>
    </r>
    <r>
      <rPr>
        <sz val="10.5"/>
        <color theme="1"/>
        <rFont val="Calibri"/>
        <family val="2"/>
        <scheme val="minor"/>
      </rPr>
      <t>:
El sub-ítem C3, relacionado con la administración del proyecto en su primera etapa incluye horas del ingeniero del centro y de la group manager, 486 horas por cada uno a lo largo del primer año (8.333,33 CLP/hora ingeniero 9.077,00 CLP/ hora group manager), quienes se encargarán de hacer contacto con proveedores, solicitar cotizaciones, gestionar el flujo de caja, validar documentos y poner en marcha el sistema de registro de uso del equipo. En este mismo periodo incial de 12 meses se contemplan 486 horas administrativas para el director del centro, destinadas a la gestión del espacio y recursos del centro frente a las autoridades de la universidad y 486 horas individuales para el coordinador del proyecto orientadas a elaboración y validación de diseños, supervisión de las obras de adecuación y generación de reportes y documentación (16.666,67 CLP/hora director CTE  15.555,56 CLP/ hora coordinador). Los gastos de administración son considerados como aportes no pecuniarios de la UNAB, y se relacionan con parte la nómina fija del centro. El monto total para este item es de CLP$24.121.422. Para mayor información sobre este item, se presenta mayor detalle en la columna adquisición de la tabla 3 presentada en el documento de formulación.</t>
    </r>
  </si>
  <si>
    <t>PRESUPUESTO MODIFICADO</t>
  </si>
  <si>
    <t>USO INTERNO DEIA</t>
  </si>
  <si>
    <t>Montos Adjudicados FONDEQUIP</t>
  </si>
  <si>
    <t>Presupuesto Aprobado</t>
  </si>
  <si>
    <t>Modificación Solicitada
(Fecha:    )</t>
  </si>
  <si>
    <t>Presupuesto Modificado</t>
  </si>
  <si>
    <t>Pecuniario Comprometido</t>
  </si>
  <si>
    <t>Pecuniario Modificado</t>
  </si>
  <si>
    <t>No Pecuniario Comprometido</t>
  </si>
  <si>
    <t>No Pecuniario Modificado</t>
  </si>
  <si>
    <t>APORTE PECUNIARIO (10%)</t>
  </si>
  <si>
    <t xml:space="preserve">TOTAL APORTES PECUNIARIOS </t>
  </si>
  <si>
    <t xml:space="preserve">TOTAL APORTES NO PECUNIARIOS </t>
  </si>
  <si>
    <t>TOTAL APORTES</t>
  </si>
  <si>
    <t>PRESUPUESTO FINAL V/S MONTOS RENDIDOS</t>
  </si>
  <si>
    <t>Montos Ajudicados FONDEQUIP</t>
  </si>
  <si>
    <t>Rendición de Cuentas</t>
  </si>
  <si>
    <t>Saldo por Rendir</t>
  </si>
  <si>
    <t>RENDIDO</t>
  </si>
  <si>
    <t>APORTE PECUNIARIO 10%</t>
  </si>
  <si>
    <t>COTIZACIÓN POSTULACIÓN</t>
  </si>
  <si>
    <t>COTIZACIÓN ACTUALIZADA</t>
  </si>
  <si>
    <t>FACTURA N°</t>
  </si>
  <si>
    <t>Tipo de Cambio</t>
  </si>
  <si>
    <t>RENDICIÓN DE CUENTAS</t>
  </si>
  <si>
    <t>DETALLE</t>
  </si>
  <si>
    <t>USD</t>
  </si>
  <si>
    <t>PESOS</t>
  </si>
  <si>
    <t>FONDEQUIP</t>
  </si>
  <si>
    <t>PECUNIARIO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</si>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</sst>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quot;$&quot;\ * #,##0_-;\-&quot;$&quot;\ * #,##0_-;_-&quot;$&quot;\ * &quot;-&quot;??_-;_-@_-"/>
    <numFmt numFmtId="167" formatCode="_-* #,##0.00_-;\-* #,##0.00_-;_-* &quot;-&quot;_-;_-@_-"/>
    <numFmt numFmtId="168" formatCode="_-* #,##0.0_-;\-* #,##0.0_-;_-* &quot;-&quot;_-;_-@_-"/>
  </numFmts>
  <fonts count="62">
    <font>
      <sz val="11"/>
      <color theme="1"/>
      <name val="Calibri"/>
      <family val="2"/>
      <scheme val="minor"/>
    </font>
    <font>
      <b/>
      <sz val="9"/>
      <color indexed="81"/>
      <name val="Tahoma"/>
      <family val="2"/>
    </font>
    <font>
      <sz val="11"/>
      <color theme="1"/>
      <name val="Calibri"/>
      <family val="2"/>
      <scheme val="minor"/>
    </font>
    <font>
      <sz val="9"/>
      <color indexed="81"/>
      <name val="Tahoma"/>
      <family val="2"/>
    </font>
    <font>
      <b/>
      <sz val="11"/>
      <name val="Calibri"/>
      <family val="2"/>
      <scheme val="minor"/>
    </font>
    <font>
      <b/>
      <sz val="11"/>
      <color theme="1"/>
      <name val="Calibri"/>
      <family val="2"/>
      <scheme val="minor"/>
    </font>
    <font>
      <sz val="9"/>
      <color theme="0"/>
      <name val="Calibri"/>
      <family val="2"/>
      <scheme val="minor"/>
    </font>
    <font>
      <sz val="9"/>
      <color theme="1"/>
      <name val="Calibri"/>
      <family val="2"/>
      <scheme val="minor"/>
    </font>
    <font>
      <b/>
      <sz val="14"/>
      <color theme="0"/>
      <name val="Calibri"/>
      <family val="2"/>
      <scheme val="minor"/>
    </font>
    <font>
      <b/>
      <sz val="9"/>
      <color theme="0"/>
      <name val="Calibri"/>
      <family val="2"/>
      <scheme val="minor"/>
    </font>
    <font>
      <b/>
      <sz val="9"/>
      <name val="Calibri"/>
      <family val="2"/>
      <scheme val="minor"/>
    </font>
    <font>
      <sz val="9"/>
      <name val="Calibri"/>
      <family val="2"/>
      <scheme val="minor"/>
    </font>
    <font>
      <b/>
      <sz val="9"/>
      <color theme="1"/>
      <name val="Calibri"/>
      <family val="2"/>
      <scheme val="minor"/>
    </font>
    <font>
      <b/>
      <sz val="10"/>
      <color theme="0"/>
      <name val="Calibri"/>
      <family val="2"/>
      <scheme val="minor"/>
    </font>
    <font>
      <sz val="10"/>
      <color theme="1"/>
      <name val="Calibri"/>
      <family val="2"/>
      <scheme val="minor"/>
    </font>
    <font>
      <sz val="11"/>
      <color theme="0"/>
      <name val="Calibri"/>
      <family val="2"/>
      <scheme val="minor"/>
    </font>
    <font>
      <b/>
      <sz val="11"/>
      <color theme="0"/>
      <name val="Calibri"/>
      <family val="2"/>
      <scheme val="minor"/>
    </font>
    <font>
      <sz val="12"/>
      <color theme="0"/>
      <name val="Calibri"/>
      <family val="2"/>
      <scheme val="minor"/>
    </font>
    <font>
      <b/>
      <sz val="12"/>
      <color theme="0"/>
      <name val="Calibri"/>
      <family val="2"/>
      <scheme val="minor"/>
    </font>
    <font>
      <sz val="12"/>
      <color theme="1"/>
      <name val="Calibri"/>
      <family val="2"/>
      <scheme val="minor"/>
    </font>
    <font>
      <b/>
      <sz val="10"/>
      <name val="Calibri"/>
      <family val="2"/>
      <scheme val="minor"/>
    </font>
    <font>
      <sz val="10"/>
      <name val="Calibri"/>
      <family val="2"/>
      <scheme val="minor"/>
    </font>
    <font>
      <sz val="11"/>
      <name val="Calibri"/>
      <family val="2"/>
      <scheme val="minor"/>
    </font>
    <font>
      <sz val="14"/>
      <color theme="0"/>
      <name val="Calibri"/>
      <family val="2"/>
      <scheme val="minor"/>
    </font>
    <font>
      <sz val="14"/>
      <color theme="1"/>
      <name val="Calibri"/>
      <family val="2"/>
      <scheme val="minor"/>
    </font>
    <font>
      <b/>
      <sz val="10"/>
      <color theme="1"/>
      <name val="Calibri"/>
      <family val="2"/>
      <scheme val="minor"/>
    </font>
    <font>
      <sz val="14"/>
      <name val="Calibri"/>
      <family val="2"/>
      <scheme val="minor"/>
    </font>
    <font>
      <b/>
      <sz val="12"/>
      <color theme="1"/>
      <name val="Calibri"/>
      <family val="2"/>
      <scheme val="minor"/>
    </font>
    <font>
      <b/>
      <sz val="10"/>
      <color rgb="FFC00000"/>
      <name val="Calibri"/>
      <family val="2"/>
      <scheme val="minor"/>
    </font>
    <font>
      <b/>
      <sz val="11"/>
      <color rgb="FFFF0000"/>
      <name val="Calibri"/>
      <family val="2"/>
      <scheme val="minor"/>
    </font>
    <font>
      <sz val="10.5"/>
      <color theme="1"/>
      <name val="Calibri"/>
      <family val="2"/>
      <scheme val="minor"/>
    </font>
    <font>
      <b/>
      <sz val="10.5"/>
      <color theme="1"/>
      <name val="Calibri"/>
      <family val="2"/>
      <scheme val="minor"/>
    </font>
    <font>
      <b/>
      <sz val="10.5"/>
      <color rgb="FFC00000"/>
      <name val="Calibri"/>
      <family val="2"/>
      <scheme val="minor"/>
    </font>
    <font>
      <sz val="10.5"/>
      <color theme="0"/>
      <name val="Calibri"/>
      <family val="2"/>
      <scheme val="minor"/>
    </font>
    <font>
      <b/>
      <sz val="10.5"/>
      <color rgb="FFFF0000"/>
      <name val="Calibri"/>
      <family val="2"/>
      <scheme val="minor"/>
    </font>
    <font>
      <b/>
      <sz val="10.5"/>
      <color theme="0"/>
      <name val="Calibri"/>
      <family val="2"/>
      <scheme val="minor"/>
    </font>
    <font>
      <sz val="10.5"/>
      <name val="Calibri"/>
      <family val="2"/>
      <scheme val="minor"/>
    </font>
    <font>
      <b/>
      <sz val="10.5"/>
      <name val="Calibri"/>
      <family val="2"/>
      <scheme val="minor"/>
    </font>
    <font>
      <b/>
      <sz val="14"/>
      <color theme="1"/>
      <name val="Calibri"/>
      <family val="2"/>
      <scheme val="minor"/>
    </font>
    <font>
      <b/>
      <u/>
      <sz val="12"/>
      <color theme="0"/>
      <name val="Calibri"/>
      <family val="2"/>
      <scheme val="minor"/>
    </font>
    <font>
      <b/>
      <sz val="16"/>
      <color theme="1"/>
      <name val="Calibri"/>
      <family val="2"/>
      <scheme val="minor"/>
    </font>
    <font>
      <b/>
      <sz val="11"/>
      <color indexed="8"/>
      <name val="Calibri"/>
      <family val="2"/>
      <scheme val="minor"/>
    </font>
    <font>
      <sz val="11"/>
      <color indexed="8"/>
      <name val="Calibri"/>
      <family val="2"/>
      <scheme val="minor"/>
    </font>
    <font>
      <sz val="12"/>
      <color theme="3" tint="-0.249977111117893"/>
      <name val="Calibri"/>
      <family val="2"/>
      <scheme val="minor"/>
    </font>
    <font>
      <sz val="11"/>
      <color theme="3" tint="-0.249977111117893"/>
      <name val="Calibri"/>
      <family val="2"/>
      <scheme val="minor"/>
    </font>
    <font>
      <sz val="18"/>
      <color theme="1"/>
      <name val="Calibri"/>
      <family val="2"/>
      <scheme val="minor"/>
    </font>
    <font>
      <b/>
      <u/>
      <sz val="11"/>
      <color theme="0"/>
      <name val="Calibri"/>
      <family val="2"/>
      <scheme val="minor"/>
    </font>
    <font>
      <b/>
      <i/>
      <sz val="10"/>
      <color theme="1"/>
      <name val="Calibri"/>
      <family val="2"/>
      <scheme val="minor"/>
    </font>
    <font>
      <b/>
      <u/>
      <sz val="12"/>
      <color theme="1"/>
      <name val="Calibri"/>
      <family val="2"/>
      <scheme val="minor"/>
    </font>
    <font>
      <b/>
      <sz val="16"/>
      <color theme="0"/>
      <name val="Calibri"/>
      <family val="2"/>
      <scheme val="minor"/>
    </font>
    <font>
      <sz val="16"/>
      <color theme="0"/>
      <name val="Calibri"/>
      <family val="2"/>
      <scheme val="minor"/>
    </font>
    <font>
      <sz val="16"/>
      <color theme="1"/>
      <name val="Calibri"/>
      <family val="2"/>
      <scheme val="minor"/>
    </font>
    <font>
      <b/>
      <u/>
      <sz val="14"/>
      <color theme="0"/>
      <name val="Calibri"/>
      <family val="2"/>
      <scheme val="minor"/>
    </font>
    <font>
      <b/>
      <sz val="11"/>
      <color rgb="FFC00000"/>
      <name val="Calibri"/>
      <family val="2"/>
      <scheme val="minor"/>
    </font>
    <font>
      <b/>
      <u/>
      <sz val="11"/>
      <color theme="1"/>
      <name val="Calibri"/>
      <family val="2"/>
      <scheme val="minor"/>
    </font>
    <font>
      <b/>
      <sz val="12"/>
      <name val="Calibri"/>
      <family val="2"/>
      <scheme val="minor"/>
    </font>
    <font>
      <i/>
      <sz val="11"/>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u/>
      <sz val="11"/>
      <color rgb="FF000000"/>
      <name val="Calibri"/>
      <family val="2"/>
      <scheme val="minor"/>
    </font>
    <font>
      <sz val="8"/>
      <name val="Calibri"/>
      <family val="2"/>
      <scheme val="minor"/>
    </font>
  </fonts>
  <fills count="1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2060"/>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rgb="FFCCFF33"/>
        <bgColor indexed="64"/>
      </patternFill>
    </fill>
    <fill>
      <patternFill patternType="solid">
        <fgColor rgb="FFCCFF66"/>
        <bgColor indexed="64"/>
      </patternFill>
    </fill>
    <fill>
      <patternFill patternType="solid">
        <fgColor rgb="FFB8CCE4"/>
        <bgColor rgb="FF000000"/>
      </patternFill>
    </fill>
    <fill>
      <patternFill patternType="solid">
        <fgColor theme="3" tint="-0.249977111117893"/>
        <bgColor rgb="FF000000"/>
      </patternFill>
    </fill>
  </fills>
  <borders count="134">
    <border>
      <left/>
      <right/>
      <top/>
      <bottom/>
      <diagonal/>
    </border>
    <border>
      <left/>
      <right style="thin">
        <color indexed="64"/>
      </right>
      <top/>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0"/>
      </bottom>
      <diagonal/>
    </border>
    <border>
      <left/>
      <right style="thick">
        <color theme="0"/>
      </right>
      <top/>
      <bottom style="thick">
        <color theme="0"/>
      </bottom>
      <diagonal/>
    </border>
    <border>
      <left style="double">
        <color theme="3" tint="-0.24994659260841701"/>
      </left>
      <right/>
      <top/>
      <bottom style="thick">
        <color theme="0"/>
      </bottom>
      <diagonal/>
    </border>
    <border>
      <left/>
      <right/>
      <top style="thick">
        <color theme="0"/>
      </top>
      <bottom/>
      <diagonal/>
    </border>
    <border>
      <left style="thin">
        <color theme="0"/>
      </left>
      <right style="medium">
        <color indexed="64"/>
      </right>
      <top style="thin">
        <color theme="3" tint="-0.24994659260841701"/>
      </top>
      <bottom style="thin">
        <color theme="3" tint="-0.24994659260841701"/>
      </bottom>
      <diagonal/>
    </border>
    <border>
      <left style="thin">
        <color indexed="64"/>
      </left>
      <right style="thin">
        <color indexed="64"/>
      </right>
      <top style="thick">
        <color theme="0"/>
      </top>
      <bottom style="thin">
        <color theme="3" tint="-0.24994659260841701"/>
      </bottom>
      <diagonal/>
    </border>
    <border>
      <left style="thick">
        <color theme="0"/>
      </left>
      <right style="thin">
        <color indexed="64"/>
      </right>
      <top style="thin">
        <color theme="3" tint="-0.24994659260841701"/>
      </top>
      <bottom style="thin">
        <color theme="3" tint="-0.24994659260841701"/>
      </bottom>
      <diagonal/>
    </border>
    <border>
      <left style="thin">
        <color indexed="64"/>
      </left>
      <right style="thin">
        <color indexed="64"/>
      </right>
      <top style="thin">
        <color theme="3" tint="-0.24994659260841701"/>
      </top>
      <bottom style="thin">
        <color theme="3" tint="-0.24994659260841701"/>
      </bottom>
      <diagonal/>
    </border>
    <border>
      <left style="thick">
        <color theme="0"/>
      </left>
      <right style="thin">
        <color indexed="64"/>
      </right>
      <top style="thin">
        <color theme="3" tint="-0.24994659260841701"/>
      </top>
      <bottom style="medium">
        <color theme="0"/>
      </bottom>
      <diagonal/>
    </border>
    <border>
      <left style="thick">
        <color theme="0"/>
      </left>
      <right style="thin">
        <color indexed="64"/>
      </right>
      <top style="medium">
        <color theme="0"/>
      </top>
      <bottom style="thin">
        <color theme="3" tint="-0.24994659260841701"/>
      </bottom>
      <diagonal/>
    </border>
    <border>
      <left style="thick">
        <color theme="0"/>
      </left>
      <right/>
      <top style="thin">
        <color theme="3" tint="-0.24994659260841701"/>
      </top>
      <bottom style="thick">
        <color theme="0"/>
      </bottom>
      <diagonal/>
    </border>
    <border>
      <left style="thin">
        <color theme="0"/>
      </left>
      <right style="medium">
        <color indexed="64"/>
      </right>
      <top style="thin">
        <color theme="3" tint="-0.24994659260841701"/>
      </top>
      <bottom style="medium">
        <color indexed="64"/>
      </bottom>
      <diagonal/>
    </border>
    <border>
      <left style="thin">
        <color theme="0"/>
      </left>
      <right style="thin">
        <color theme="0"/>
      </right>
      <top style="thin">
        <color theme="3" tint="-0.24994659260841701"/>
      </top>
      <bottom style="thin">
        <color theme="3" tint="-0.24994659260841701"/>
      </bottom>
      <diagonal/>
    </border>
    <border>
      <left style="thin">
        <color theme="0"/>
      </left>
      <right style="thin">
        <color theme="0"/>
      </right>
      <top style="thin">
        <color theme="3" tint="-0.24994659260841701"/>
      </top>
      <bottom style="medium">
        <color indexed="64"/>
      </bottom>
      <diagonal/>
    </border>
    <border>
      <left style="thin">
        <color theme="0"/>
      </left>
      <right/>
      <top style="thin">
        <color theme="3" tint="-0.24994659260841701"/>
      </top>
      <bottom style="thin">
        <color theme="3" tint="-0.24994659260841701"/>
      </bottom>
      <diagonal/>
    </border>
    <border>
      <left style="thin">
        <color theme="0"/>
      </left>
      <right/>
      <top style="thin">
        <color theme="3" tint="-0.24994659260841701"/>
      </top>
      <bottom style="medium">
        <color indexed="64"/>
      </bottom>
      <diagonal/>
    </border>
    <border>
      <left style="medium">
        <color indexed="64"/>
      </left>
      <right style="thin">
        <color theme="0"/>
      </right>
      <top style="thin">
        <color theme="3" tint="-0.24994659260841701"/>
      </top>
      <bottom style="thin">
        <color theme="3" tint="-0.24994659260841701"/>
      </bottom>
      <diagonal/>
    </border>
    <border>
      <left style="medium">
        <color indexed="64"/>
      </left>
      <right style="thin">
        <color theme="0"/>
      </right>
      <top style="thin">
        <color theme="3" tint="-0.24994659260841701"/>
      </top>
      <bottom style="medium">
        <color indexed="64"/>
      </bottom>
      <diagonal/>
    </border>
    <border>
      <left style="medium">
        <color indexed="64"/>
      </left>
      <right/>
      <top style="thin">
        <color theme="3" tint="-0.24994659260841701"/>
      </top>
      <bottom style="thin">
        <color theme="3" tint="-0.24994659260841701"/>
      </bottom>
      <diagonal/>
    </border>
    <border>
      <left style="medium">
        <color indexed="64"/>
      </left>
      <right/>
      <top style="thin">
        <color theme="3" tint="-0.24994659260841701"/>
      </top>
      <bottom style="medium">
        <color indexed="64"/>
      </bottom>
      <diagonal/>
    </border>
    <border>
      <left style="thin">
        <color theme="0"/>
      </left>
      <right/>
      <top/>
      <bottom style="thin">
        <color theme="3" tint="-0.24994659260841701"/>
      </bottom>
      <diagonal/>
    </border>
    <border>
      <left style="medium">
        <color indexed="64"/>
      </left>
      <right style="thin">
        <color theme="0"/>
      </right>
      <top/>
      <bottom style="thin">
        <color theme="3" tint="-0.24994659260841701"/>
      </bottom>
      <diagonal/>
    </border>
    <border>
      <left style="thin">
        <color theme="0"/>
      </left>
      <right style="medium">
        <color indexed="64"/>
      </right>
      <top/>
      <bottom style="thin">
        <color theme="3" tint="-0.24994659260841701"/>
      </bottom>
      <diagonal/>
    </border>
    <border>
      <left style="thin">
        <color indexed="64"/>
      </left>
      <right style="thin">
        <color indexed="64"/>
      </right>
      <top/>
      <bottom style="thin">
        <color theme="3" tint="-0.24994659260841701"/>
      </bottom>
      <diagonal/>
    </border>
    <border>
      <left style="thin">
        <color theme="0"/>
      </left>
      <right style="thin">
        <color theme="0"/>
      </right>
      <top/>
      <bottom style="thin">
        <color theme="3" tint="-0.24994659260841701"/>
      </bottom>
      <diagonal/>
    </border>
    <border>
      <left style="medium">
        <color indexed="64"/>
      </left>
      <right style="thin">
        <color theme="0" tint="-4.9989318521683403E-2"/>
      </right>
      <top style="medium">
        <color indexed="64"/>
      </top>
      <bottom style="thin">
        <color theme="3" tint="-0.24994659260841701"/>
      </bottom>
      <diagonal/>
    </border>
    <border>
      <left style="thin">
        <color theme="0" tint="-4.9989318521683403E-2"/>
      </left>
      <right style="thin">
        <color theme="0" tint="-4.9989318521683403E-2"/>
      </right>
      <top style="medium">
        <color indexed="64"/>
      </top>
      <bottom style="thin">
        <color theme="3" tint="-0.24994659260841701"/>
      </bottom>
      <diagonal/>
    </border>
    <border>
      <left style="thin">
        <color theme="0" tint="-4.9989318521683403E-2"/>
      </left>
      <right style="medium">
        <color indexed="64"/>
      </right>
      <top style="medium">
        <color indexed="64"/>
      </top>
      <bottom style="thin">
        <color theme="3" tint="-0.24994659260841701"/>
      </bottom>
      <diagonal/>
    </border>
    <border>
      <left style="medium">
        <color indexed="64"/>
      </left>
      <right style="thin">
        <color theme="0" tint="-4.9989318521683403E-2"/>
      </right>
      <top style="thin">
        <color theme="3" tint="-0.24994659260841701"/>
      </top>
      <bottom style="thin">
        <color theme="3" tint="-0.24994659260841701"/>
      </bottom>
      <diagonal/>
    </border>
    <border>
      <left style="thin">
        <color theme="0" tint="-4.9989318521683403E-2"/>
      </left>
      <right style="thin">
        <color theme="0" tint="-4.9989318521683403E-2"/>
      </right>
      <top style="thin">
        <color theme="3" tint="-0.24994659260841701"/>
      </top>
      <bottom style="thin">
        <color theme="3" tint="-0.24994659260841701"/>
      </bottom>
      <diagonal/>
    </border>
    <border>
      <left style="thin">
        <color theme="0" tint="-4.9989318521683403E-2"/>
      </left>
      <right style="medium">
        <color indexed="64"/>
      </right>
      <top style="thin">
        <color theme="3" tint="-0.24994659260841701"/>
      </top>
      <bottom style="thin">
        <color theme="3" tint="-0.24994659260841701"/>
      </bottom>
      <diagonal/>
    </border>
    <border>
      <left/>
      <right style="thick">
        <color theme="0"/>
      </right>
      <top/>
      <bottom/>
      <diagonal/>
    </border>
    <border>
      <left style="thick">
        <color theme="0"/>
      </left>
      <right style="thin">
        <color indexed="64"/>
      </right>
      <top style="thick">
        <color theme="0"/>
      </top>
      <bottom style="thick">
        <color theme="0"/>
      </bottom>
      <diagonal/>
    </border>
    <border>
      <left style="thick">
        <color theme="0"/>
      </left>
      <right/>
      <top/>
      <bottom/>
      <diagonal/>
    </border>
    <border>
      <left style="thick">
        <color theme="0"/>
      </left>
      <right/>
      <top/>
      <bottom style="thick">
        <color theme="0"/>
      </bottom>
      <diagonal/>
    </border>
    <border>
      <left style="double">
        <color theme="3" tint="-0.24994659260841701"/>
      </left>
      <right/>
      <top/>
      <bottom/>
      <diagonal/>
    </border>
    <border>
      <left/>
      <right style="thick">
        <color theme="0"/>
      </right>
      <top style="thick">
        <color theme="0"/>
      </top>
      <bottom/>
      <diagonal/>
    </border>
    <border>
      <left/>
      <right/>
      <top style="thick">
        <color theme="0"/>
      </top>
      <bottom style="thick">
        <color theme="0"/>
      </bottom>
      <diagonal/>
    </border>
    <border>
      <left/>
      <right/>
      <top style="medium">
        <color theme="0"/>
      </top>
      <bottom style="medium">
        <color theme="0"/>
      </bottom>
      <diagonal/>
    </border>
    <border>
      <left style="thin">
        <color indexed="64"/>
      </left>
      <right/>
      <top style="medium">
        <color theme="0"/>
      </top>
      <bottom style="medium">
        <color theme="0"/>
      </bottom>
      <diagonal/>
    </border>
    <border>
      <left/>
      <right/>
      <top style="medium">
        <color theme="0"/>
      </top>
      <bottom/>
      <diagonal/>
    </border>
    <border>
      <left style="thin">
        <color indexed="64"/>
      </left>
      <right/>
      <top style="medium">
        <color theme="0"/>
      </top>
      <bottom/>
      <diagonal/>
    </border>
    <border>
      <left style="thin">
        <color indexed="64"/>
      </left>
      <right/>
      <top style="thick">
        <color theme="0"/>
      </top>
      <bottom style="thick">
        <color theme="0"/>
      </bottom>
      <diagonal/>
    </border>
    <border>
      <left/>
      <right style="thin">
        <color indexed="64"/>
      </right>
      <top style="thick">
        <color theme="0"/>
      </top>
      <bottom style="thick">
        <color theme="0"/>
      </bottom>
      <diagonal/>
    </border>
    <border>
      <left style="thin">
        <color indexed="64"/>
      </left>
      <right style="thick">
        <color theme="0"/>
      </right>
      <top/>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medium">
        <color indexed="64"/>
      </top>
      <bottom style="thin">
        <color theme="0"/>
      </bottom>
      <diagonal/>
    </border>
    <border>
      <left style="thin">
        <color theme="0"/>
      </left>
      <right style="thin">
        <color theme="0"/>
      </right>
      <top/>
      <bottom style="medium">
        <color indexed="64"/>
      </bottom>
      <diagonal/>
    </border>
    <border>
      <left style="thin">
        <color theme="0"/>
      </left>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4" tint="0.79998168889431442"/>
      </left>
      <right style="thin">
        <color theme="4" tint="0.79998168889431442"/>
      </right>
      <top style="thin">
        <color theme="0"/>
      </top>
      <bottom style="thin">
        <color theme="4" tint="0.79998168889431442"/>
      </bottom>
      <diagonal/>
    </border>
    <border>
      <left/>
      <right/>
      <top style="thin">
        <color indexed="64"/>
      </top>
      <bottom style="thin">
        <color theme="0"/>
      </bottom>
      <diagonal/>
    </border>
    <border>
      <left style="medium">
        <color rgb="FF0066CC"/>
      </left>
      <right/>
      <top style="medium">
        <color rgb="FF0066CC"/>
      </top>
      <bottom/>
      <diagonal/>
    </border>
    <border>
      <left style="medium">
        <color rgb="FF0066CC"/>
      </left>
      <right/>
      <top/>
      <bottom style="medium">
        <color rgb="FF0066CC"/>
      </bottom>
      <diagonal/>
    </border>
    <border>
      <left style="thick">
        <color theme="0"/>
      </left>
      <right/>
      <top style="thick">
        <color theme="0"/>
      </top>
      <bottom/>
      <diagonal/>
    </border>
    <border>
      <left/>
      <right style="thick">
        <color theme="0"/>
      </right>
      <top style="thick">
        <color theme="0"/>
      </top>
      <bottom style="thick">
        <color theme="0"/>
      </bottom>
      <diagonal/>
    </border>
    <border>
      <left/>
      <right style="thick">
        <color theme="0"/>
      </right>
      <top style="thick">
        <color theme="0"/>
      </top>
      <bottom style="thin">
        <color indexed="64"/>
      </bottom>
      <diagonal/>
    </border>
    <border>
      <left style="thin">
        <color indexed="64"/>
      </left>
      <right style="thin">
        <color indexed="64"/>
      </right>
      <top/>
      <bottom style="thick">
        <color theme="0"/>
      </bottom>
      <diagonal/>
    </border>
    <border>
      <left style="medium">
        <color theme="0"/>
      </left>
      <right/>
      <top style="thick">
        <color theme="0"/>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style="thin">
        <color theme="0"/>
      </left>
      <right style="thin">
        <color theme="0"/>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medium">
        <color indexed="64"/>
      </left>
      <right style="thin">
        <color theme="0"/>
      </right>
      <top style="medium">
        <color indexed="64"/>
      </top>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medium">
        <color indexed="64"/>
      </top>
      <bottom/>
      <diagonal/>
    </border>
    <border>
      <left style="medium">
        <color indexed="64"/>
      </left>
      <right/>
      <top style="medium">
        <color indexed="64"/>
      </top>
      <bottom/>
      <diagonal/>
    </border>
    <border>
      <left style="thin">
        <color theme="0"/>
      </left>
      <right/>
      <top/>
      <bottom/>
      <diagonal/>
    </border>
    <border>
      <left style="thin">
        <color theme="0"/>
      </left>
      <right style="medium">
        <color indexed="64"/>
      </right>
      <top style="thin">
        <color theme="3" tint="-0.24994659260841701"/>
      </top>
      <bottom/>
      <diagonal/>
    </border>
    <border>
      <left style="medium">
        <color indexed="64"/>
      </left>
      <right style="thin">
        <color theme="0"/>
      </right>
      <top style="thin">
        <color theme="3" tint="-0.24994659260841701"/>
      </top>
      <bottom/>
      <diagonal/>
    </border>
    <border>
      <left style="thin">
        <color theme="0"/>
      </left>
      <right style="thin">
        <color theme="0"/>
      </right>
      <top style="thin">
        <color theme="3" tint="-0.24994659260841701"/>
      </top>
      <bottom/>
      <diagonal/>
    </border>
    <border>
      <left/>
      <right style="thin">
        <color theme="0"/>
      </right>
      <top style="medium">
        <color indexed="64"/>
      </top>
      <bottom style="thin">
        <color theme="0"/>
      </bottom>
      <diagonal/>
    </border>
    <border>
      <left/>
      <right style="thin">
        <color theme="0"/>
      </right>
      <top style="thin">
        <color theme="0"/>
      </top>
      <bottom/>
      <diagonal/>
    </border>
    <border>
      <left/>
      <right style="thin">
        <color theme="0"/>
      </right>
      <top style="thin">
        <color theme="0"/>
      </top>
      <bottom style="medium">
        <color indexed="64"/>
      </bottom>
      <diagonal/>
    </border>
    <border>
      <left style="medium">
        <color auto="1"/>
      </left>
      <right style="medium">
        <color theme="4" tint="0.79998168889431442"/>
      </right>
      <top style="medium">
        <color auto="1"/>
      </top>
      <bottom style="medium">
        <color theme="4" tint="0.79998168889431442"/>
      </bottom>
      <diagonal/>
    </border>
    <border>
      <left style="medium">
        <color auto="1"/>
      </left>
      <right style="medium">
        <color theme="4" tint="0.79998168889431442"/>
      </right>
      <top style="medium">
        <color theme="4" tint="0.79998168889431442"/>
      </top>
      <bottom style="medium">
        <color theme="4" tint="0.79998168889431442"/>
      </bottom>
      <diagonal/>
    </border>
    <border>
      <left style="medium">
        <color auto="1"/>
      </left>
      <right style="medium">
        <color theme="4" tint="0.79998168889431442"/>
      </right>
      <top style="medium">
        <color theme="4" tint="0.79998168889431442"/>
      </top>
      <bottom style="medium">
        <color auto="1"/>
      </bottom>
      <diagonal/>
    </border>
    <border>
      <left/>
      <right style="thin">
        <color theme="0"/>
      </right>
      <top/>
      <bottom/>
      <diagonal/>
    </border>
    <border>
      <left style="thin">
        <color theme="0"/>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2" fillId="0" borderId="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cellStyleXfs>
  <cellXfs count="498">
    <xf numFmtId="0" fontId="0" fillId="0" borderId="0" xfId="0"/>
    <xf numFmtId="0" fontId="6" fillId="0" borderId="0" xfId="0" applyFont="1" applyAlignment="1">
      <alignment vertical="center"/>
    </xf>
    <xf numFmtId="0" fontId="7" fillId="0" borderId="0" xfId="0" applyFont="1" applyAlignment="1">
      <alignment vertical="center"/>
    </xf>
    <xf numFmtId="0" fontId="6" fillId="0" borderId="9" xfId="0" applyFont="1" applyBorder="1" applyAlignment="1">
      <alignment vertical="center"/>
    </xf>
    <xf numFmtId="0" fontId="6" fillId="0" borderId="0" xfId="0" applyFont="1" applyAlignment="1">
      <alignment horizontal="center" vertical="center" wrapText="1"/>
    </xf>
    <xf numFmtId="0" fontId="9" fillId="8" borderId="76" xfId="0" applyFont="1" applyFill="1" applyBorder="1" applyAlignment="1">
      <alignment horizontal="center" vertical="center" wrapText="1"/>
    </xf>
    <xf numFmtId="0" fontId="9" fillId="8" borderId="77" xfId="0" applyFont="1" applyFill="1" applyBorder="1" applyAlignment="1">
      <alignment horizontal="center" vertical="center" wrapText="1"/>
    </xf>
    <xf numFmtId="0" fontId="9" fillId="8" borderId="70" xfId="0" applyFont="1" applyFill="1" applyBorder="1" applyAlignment="1">
      <alignment horizontal="center" vertical="center" wrapText="1"/>
    </xf>
    <xf numFmtId="0" fontId="9" fillId="8" borderId="71" xfId="0" applyFont="1" applyFill="1" applyBorder="1" applyAlignment="1">
      <alignment horizontal="center" vertical="center" wrapText="1"/>
    </xf>
    <xf numFmtId="0" fontId="10" fillId="5" borderId="45" xfId="0" applyFont="1" applyFill="1" applyBorder="1" applyAlignment="1">
      <alignment horizontal="left" vertical="center" wrapText="1"/>
    </xf>
    <xf numFmtId="166" fontId="9" fillId="8" borderId="78" xfId="0" applyNumberFormat="1" applyFont="1" applyFill="1" applyBorder="1" applyAlignment="1">
      <alignment horizontal="left" vertical="center" wrapText="1"/>
    </xf>
    <xf numFmtId="166" fontId="9" fillId="8" borderId="79" xfId="0" applyNumberFormat="1" applyFont="1" applyFill="1" applyBorder="1" applyAlignment="1">
      <alignment horizontal="left" vertical="center" wrapText="1"/>
    </xf>
    <xf numFmtId="166" fontId="9" fillId="8" borderId="80" xfId="0" applyNumberFormat="1" applyFont="1" applyFill="1" applyBorder="1" applyAlignment="1">
      <alignment horizontal="left" vertical="center" wrapText="1"/>
    </xf>
    <xf numFmtId="166" fontId="11" fillId="5" borderId="46" xfId="0" applyNumberFormat="1" applyFont="1" applyFill="1" applyBorder="1" applyAlignment="1">
      <alignment vertical="center" wrapText="1"/>
    </xf>
    <xf numFmtId="166" fontId="11" fillId="5" borderId="49" xfId="0" applyNumberFormat="1" applyFont="1" applyFill="1" applyBorder="1" applyAlignment="1" applyProtection="1">
      <alignment horizontal="center" vertical="center" wrapText="1"/>
      <protection locked="0"/>
    </xf>
    <xf numFmtId="166" fontId="10" fillId="5" borderId="47" xfId="0" applyNumberFormat="1" applyFont="1" applyFill="1" applyBorder="1" applyAlignment="1">
      <alignment horizontal="center" vertical="center" wrapText="1"/>
    </xf>
    <xf numFmtId="166" fontId="11" fillId="5" borderId="45" xfId="0" applyNumberFormat="1" applyFont="1" applyFill="1" applyBorder="1" applyAlignment="1" applyProtection="1">
      <alignment horizontal="center" vertical="center" wrapText="1"/>
      <protection locked="0"/>
    </xf>
    <xf numFmtId="166" fontId="11" fillId="5" borderId="47" xfId="0" applyNumberFormat="1" applyFont="1" applyFill="1" applyBorder="1" applyAlignment="1">
      <alignment horizontal="center" vertical="center" wrapText="1"/>
    </xf>
    <xf numFmtId="166" fontId="11" fillId="1" borderId="50" xfId="0" applyNumberFormat="1" applyFont="1" applyFill="1" applyBorder="1" applyAlignment="1">
      <alignment horizontal="center" vertical="center" wrapText="1"/>
    </xf>
    <xf numFmtId="166" fontId="11" fillId="1" borderId="51" xfId="0" applyNumberFormat="1" applyFont="1" applyFill="1" applyBorder="1" applyAlignment="1">
      <alignment horizontal="center" vertical="center" wrapText="1"/>
    </xf>
    <xf numFmtId="166" fontId="11" fillId="1" borderId="52" xfId="0" applyNumberFormat="1" applyFont="1" applyFill="1" applyBorder="1" applyAlignment="1">
      <alignment horizontal="center" vertical="center" wrapText="1"/>
    </xf>
    <xf numFmtId="166" fontId="7" fillId="0" borderId="0" xfId="0" applyNumberFormat="1" applyFont="1" applyAlignment="1">
      <alignment vertical="center"/>
    </xf>
    <xf numFmtId="0" fontId="10" fillId="5" borderId="39" xfId="0" applyFont="1" applyFill="1" applyBorder="1" applyAlignment="1">
      <alignment horizontal="left" vertical="center" wrapText="1"/>
    </xf>
    <xf numFmtId="166" fontId="9" fillId="8" borderId="81" xfId="0" applyNumberFormat="1" applyFont="1" applyFill="1" applyBorder="1" applyAlignment="1">
      <alignment horizontal="left" vertical="center" wrapText="1"/>
    </xf>
    <xf numFmtId="166" fontId="9" fillId="8" borderId="72" xfId="0" applyNumberFormat="1" applyFont="1" applyFill="1" applyBorder="1" applyAlignment="1">
      <alignment horizontal="left" vertical="center" wrapText="1"/>
    </xf>
    <xf numFmtId="166" fontId="9" fillId="8" borderId="73" xfId="0" applyNumberFormat="1" applyFont="1" applyFill="1" applyBorder="1" applyAlignment="1">
      <alignment horizontal="left" vertical="center" wrapText="1"/>
    </xf>
    <xf numFmtId="166" fontId="11" fillId="5" borderId="41" xfId="0" applyNumberFormat="1" applyFont="1" applyFill="1" applyBorder="1" applyAlignment="1">
      <alignment vertical="center" wrapText="1"/>
    </xf>
    <xf numFmtId="166" fontId="11" fillId="5" borderId="37" xfId="0" applyNumberFormat="1" applyFont="1" applyFill="1" applyBorder="1" applyAlignment="1" applyProtection="1">
      <alignment horizontal="center" vertical="center" wrapText="1"/>
      <protection locked="0"/>
    </xf>
    <xf numFmtId="166" fontId="10" fillId="5" borderId="29" xfId="0" applyNumberFormat="1" applyFont="1" applyFill="1" applyBorder="1" applyAlignment="1">
      <alignment horizontal="center" vertical="center" wrapText="1"/>
    </xf>
    <xf numFmtId="166" fontId="11" fillId="5" borderId="39" xfId="0" applyNumberFormat="1" applyFont="1" applyFill="1" applyBorder="1" applyAlignment="1" applyProtection="1">
      <alignment horizontal="center" vertical="center" wrapText="1"/>
      <protection locked="0"/>
    </xf>
    <xf numFmtId="166" fontId="11" fillId="5" borderId="29" xfId="0" applyNumberFormat="1" applyFont="1" applyFill="1" applyBorder="1" applyAlignment="1">
      <alignment horizontal="center" vertical="center" wrapText="1"/>
    </xf>
    <xf numFmtId="166" fontId="11" fillId="1" borderId="53" xfId="0" applyNumberFormat="1" applyFont="1" applyFill="1" applyBorder="1" applyAlignment="1">
      <alignment horizontal="center" vertical="center" wrapText="1"/>
    </xf>
    <xf numFmtId="166" fontId="11" fillId="1" borderId="54" xfId="0" applyNumberFormat="1" applyFont="1" applyFill="1" applyBorder="1" applyAlignment="1">
      <alignment horizontal="center" vertical="center" wrapText="1"/>
    </xf>
    <xf numFmtId="166" fontId="11" fillId="1" borderId="55" xfId="0" applyNumberFormat="1" applyFont="1" applyFill="1" applyBorder="1" applyAlignment="1">
      <alignment horizontal="center" vertical="center" wrapText="1"/>
    </xf>
    <xf numFmtId="166" fontId="9" fillId="8" borderId="81" xfId="0" applyNumberFormat="1" applyFont="1" applyFill="1" applyBorder="1" applyAlignment="1">
      <alignment vertical="center" wrapText="1"/>
    </xf>
    <xf numFmtId="166" fontId="9" fillId="8" borderId="72" xfId="0" applyNumberFormat="1" applyFont="1" applyFill="1" applyBorder="1" applyAlignment="1">
      <alignment vertical="center" wrapText="1"/>
    </xf>
    <xf numFmtId="166" fontId="9" fillId="8" borderId="73" xfId="0" applyNumberFormat="1" applyFont="1" applyFill="1" applyBorder="1" applyAlignment="1">
      <alignment vertical="center" wrapText="1"/>
    </xf>
    <xf numFmtId="166" fontId="11" fillId="5" borderId="37" xfId="0" applyNumberFormat="1" applyFont="1" applyFill="1" applyBorder="1" applyAlignment="1" applyProtection="1">
      <alignment vertical="center" wrapText="1"/>
      <protection locked="0"/>
    </xf>
    <xf numFmtId="166" fontId="10" fillId="5" borderId="29" xfId="0" applyNumberFormat="1" applyFont="1" applyFill="1" applyBorder="1" applyAlignment="1">
      <alignment vertical="center" wrapText="1"/>
    </xf>
    <xf numFmtId="166" fontId="11" fillId="5" borderId="41" xfId="5" applyNumberFormat="1" applyFont="1" applyFill="1" applyBorder="1" applyAlignment="1" applyProtection="1">
      <alignment horizontal="center" vertical="center" wrapText="1"/>
    </xf>
    <xf numFmtId="166" fontId="11" fillId="5" borderId="39" xfId="5" applyNumberFormat="1" applyFont="1" applyFill="1" applyBorder="1" applyAlignment="1" applyProtection="1">
      <alignment horizontal="center" vertical="center" wrapText="1"/>
      <protection locked="0"/>
    </xf>
    <xf numFmtId="166" fontId="11" fillId="5" borderId="29" xfId="5" applyNumberFormat="1" applyFont="1" applyFill="1" applyBorder="1" applyAlignment="1" applyProtection="1">
      <alignment horizontal="center" vertical="center" wrapText="1"/>
    </xf>
    <xf numFmtId="9" fontId="7" fillId="0" borderId="0" xfId="8" applyFont="1" applyFill="1" applyAlignment="1" applyProtection="1">
      <alignment vertical="center"/>
    </xf>
    <xf numFmtId="166" fontId="11" fillId="5" borderId="43" xfId="5" applyNumberFormat="1" applyFont="1" applyFill="1" applyBorder="1" applyAlignment="1" applyProtection="1">
      <alignment horizontal="center" vertical="center" wrapText="1"/>
    </xf>
    <xf numFmtId="166" fontId="9" fillId="8" borderId="81" xfId="0" applyNumberFormat="1" applyFont="1" applyFill="1" applyBorder="1" applyAlignment="1">
      <alignment horizontal="center" vertical="center" wrapText="1"/>
    </xf>
    <xf numFmtId="166" fontId="9" fillId="8" borderId="73" xfId="0" applyNumberFormat="1" applyFont="1" applyFill="1" applyBorder="1" applyAlignment="1">
      <alignment horizontal="center" vertical="center" wrapText="1"/>
    </xf>
    <xf numFmtId="166" fontId="9" fillId="8" borderId="81" xfId="5" applyNumberFormat="1" applyFont="1" applyFill="1" applyBorder="1" applyAlignment="1" applyProtection="1">
      <alignment horizontal="left" vertical="center" wrapText="1"/>
    </xf>
    <xf numFmtId="166" fontId="9" fillId="8" borderId="72" xfId="5" applyNumberFormat="1" applyFont="1" applyFill="1" applyBorder="1" applyAlignment="1" applyProtection="1">
      <alignment horizontal="left" vertical="center" wrapText="1"/>
    </xf>
    <xf numFmtId="166" fontId="9" fillId="8" borderId="73" xfId="5" applyNumberFormat="1" applyFont="1" applyFill="1" applyBorder="1" applyAlignment="1" applyProtection="1">
      <alignment horizontal="left" vertical="center" wrapText="1"/>
    </xf>
    <xf numFmtId="166" fontId="11" fillId="1" borderId="41" xfId="0" applyNumberFormat="1" applyFont="1" applyFill="1" applyBorder="1" applyAlignment="1">
      <alignment horizontal="center" vertical="center" wrapText="1"/>
    </xf>
    <xf numFmtId="166" fontId="11" fillId="1" borderId="37" xfId="0" applyNumberFormat="1" applyFont="1" applyFill="1" applyBorder="1" applyAlignment="1">
      <alignment horizontal="center" vertical="center" wrapText="1"/>
    </xf>
    <xf numFmtId="166" fontId="11" fillId="1" borderId="29" xfId="0" applyNumberFormat="1" applyFont="1" applyFill="1" applyBorder="1" applyAlignment="1">
      <alignment horizontal="center" vertical="center" wrapText="1"/>
    </xf>
    <xf numFmtId="166" fontId="9" fillId="8" borderId="82" xfId="5" applyNumberFormat="1" applyFont="1" applyFill="1" applyBorder="1" applyAlignment="1" applyProtection="1">
      <alignment horizontal="left" vertical="center" wrapText="1"/>
    </xf>
    <xf numFmtId="166" fontId="9" fillId="8" borderId="83" xfId="5" applyNumberFormat="1" applyFont="1" applyFill="1" applyBorder="1" applyAlignment="1" applyProtection="1">
      <alignment horizontal="left" vertical="center" wrapText="1"/>
    </xf>
    <xf numFmtId="166" fontId="9" fillId="8" borderId="84" xfId="5" applyNumberFormat="1" applyFont="1" applyFill="1" applyBorder="1" applyAlignment="1" applyProtection="1">
      <alignment horizontal="left" vertical="center" wrapText="1"/>
    </xf>
    <xf numFmtId="166" fontId="11" fillId="1" borderId="110" xfId="0" applyNumberFormat="1" applyFont="1" applyFill="1" applyBorder="1" applyAlignment="1">
      <alignment horizontal="center" vertical="center" wrapText="1"/>
    </xf>
    <xf numFmtId="166" fontId="11" fillId="1" borderId="111" xfId="0" applyNumberFormat="1" applyFont="1" applyFill="1" applyBorder="1" applyAlignment="1">
      <alignment horizontal="center" vertical="center" wrapText="1"/>
    </xf>
    <xf numFmtId="166" fontId="11" fillId="1" borderId="109" xfId="0" applyNumberFormat="1" applyFont="1" applyFill="1" applyBorder="1" applyAlignment="1">
      <alignment horizontal="center" vertical="center" wrapText="1"/>
    </xf>
    <xf numFmtId="0" fontId="10" fillId="5" borderId="40" xfId="0" applyFont="1" applyFill="1" applyBorder="1" applyAlignment="1">
      <alignment horizontal="left" vertical="center" wrapText="1"/>
    </xf>
    <xf numFmtId="166" fontId="11" fillId="1" borderId="42" xfId="0" applyNumberFormat="1" applyFont="1" applyFill="1" applyBorder="1" applyAlignment="1">
      <alignment horizontal="center" vertical="center" wrapText="1"/>
    </xf>
    <xf numFmtId="166" fontId="11" fillId="1" borderId="38" xfId="0" applyNumberFormat="1" applyFont="1" applyFill="1" applyBorder="1" applyAlignment="1">
      <alignment horizontal="center" vertical="center" wrapText="1"/>
    </xf>
    <xf numFmtId="166" fontId="11" fillId="1" borderId="36" xfId="0" applyNumberFormat="1" applyFont="1" applyFill="1" applyBorder="1" applyAlignment="1">
      <alignment horizontal="center" vertical="center" wrapText="1"/>
    </xf>
    <xf numFmtId="166" fontId="11" fillId="5" borderId="42" xfId="5" applyNumberFormat="1" applyFont="1" applyFill="1" applyBorder="1" applyAlignment="1" applyProtection="1">
      <alignment horizontal="center" vertical="center" wrapText="1"/>
    </xf>
    <xf numFmtId="166" fontId="11" fillId="5" borderId="40" xfId="5" applyNumberFormat="1" applyFont="1" applyFill="1" applyBorder="1" applyAlignment="1" applyProtection="1">
      <alignment horizontal="center" vertical="center" wrapText="1"/>
      <protection locked="0"/>
    </xf>
    <xf numFmtId="166" fontId="11" fillId="5" borderId="36" xfId="5" applyNumberFormat="1" applyFont="1" applyFill="1" applyBorder="1" applyAlignment="1" applyProtection="1">
      <alignment horizontal="center" vertical="center" wrapText="1"/>
    </xf>
    <xf numFmtId="166" fontId="11" fillId="5" borderId="44" xfId="5" applyNumberFormat="1" applyFont="1" applyFill="1" applyBorder="1" applyAlignment="1" applyProtection="1">
      <alignment horizontal="center" vertical="center" wrapText="1"/>
    </xf>
    <xf numFmtId="0" fontId="9" fillId="8" borderId="15" xfId="0" applyFont="1" applyFill="1" applyBorder="1" applyAlignment="1">
      <alignment horizontal="center" vertical="center"/>
    </xf>
    <xf numFmtId="166" fontId="9" fillId="8" borderId="77" xfId="0" applyNumberFormat="1" applyFont="1" applyFill="1" applyBorder="1" applyAlignment="1">
      <alignment horizontal="center" vertical="center" wrapText="1"/>
    </xf>
    <xf numFmtId="166" fontId="9" fillId="8" borderId="70" xfId="0" applyNumberFormat="1" applyFont="1" applyFill="1" applyBorder="1" applyAlignment="1">
      <alignment horizontal="center" vertical="center" wrapText="1"/>
    </xf>
    <xf numFmtId="166" fontId="9" fillId="8" borderId="71" xfId="0" applyNumberFormat="1" applyFont="1" applyFill="1" applyBorder="1" applyAlignment="1">
      <alignment horizontal="center" vertical="center" wrapText="1"/>
    </xf>
    <xf numFmtId="166" fontId="9" fillId="8" borderId="76" xfId="0" applyNumberFormat="1" applyFont="1" applyFill="1" applyBorder="1" applyAlignment="1">
      <alignment horizontal="center" vertical="center" wrapText="1"/>
    </xf>
    <xf numFmtId="166" fontId="9" fillId="8" borderId="15"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9" fontId="6" fillId="0" borderId="0" xfId="8" applyFont="1" applyFill="1" applyAlignment="1" applyProtection="1">
      <alignment horizontal="center" vertical="center" wrapText="1"/>
    </xf>
    <xf numFmtId="0" fontId="9" fillId="7" borderId="0" xfId="0" applyFont="1" applyFill="1" applyAlignment="1">
      <alignment horizontal="center" vertical="center"/>
    </xf>
    <xf numFmtId="0" fontId="9" fillId="7" borderId="4" xfId="0" applyFont="1" applyFill="1" applyBorder="1" applyAlignment="1">
      <alignment vertical="center"/>
    </xf>
    <xf numFmtId="166" fontId="9" fillId="7" borderId="4" xfId="0" applyNumberFormat="1" applyFont="1" applyFill="1" applyBorder="1" applyAlignment="1">
      <alignment vertical="center"/>
    </xf>
    <xf numFmtId="166" fontId="12" fillId="5" borderId="4" xfId="0" applyNumberFormat="1" applyFont="1" applyFill="1" applyBorder="1" applyAlignment="1">
      <alignment vertical="center"/>
    </xf>
    <xf numFmtId="9" fontId="12" fillId="5" borderId="4" xfId="8" applyFont="1" applyFill="1" applyBorder="1" applyAlignment="1">
      <alignment vertical="center"/>
    </xf>
    <xf numFmtId="0" fontId="12" fillId="0" borderId="0" xfId="0" applyFont="1" applyAlignment="1">
      <alignment vertical="center"/>
    </xf>
    <xf numFmtId="0" fontId="9" fillId="7" borderId="8" xfId="0" applyFont="1" applyFill="1" applyBorder="1" applyAlignment="1">
      <alignment vertical="center"/>
    </xf>
    <xf numFmtId="166" fontId="9" fillId="7" borderId="7" xfId="0" applyNumberFormat="1" applyFont="1" applyFill="1" applyBorder="1" applyAlignment="1">
      <alignment vertical="center"/>
    </xf>
    <xf numFmtId="0" fontId="0" fillId="0" borderId="0" xfId="0" applyAlignment="1">
      <alignment vertical="center"/>
    </xf>
    <xf numFmtId="0" fontId="17" fillId="0" borderId="0" xfId="0" applyFont="1" applyAlignment="1">
      <alignment vertical="center"/>
    </xf>
    <xf numFmtId="0" fontId="19" fillId="0" borderId="0" xfId="0" applyFont="1" applyAlignment="1">
      <alignment vertical="center"/>
    </xf>
    <xf numFmtId="0" fontId="9" fillId="8" borderId="70" xfId="0" applyFont="1" applyFill="1" applyBorder="1" applyAlignment="1" applyProtection="1">
      <alignment horizontal="center" vertical="center" wrapText="1"/>
      <protection locked="0"/>
    </xf>
    <xf numFmtId="166" fontId="9" fillId="8" borderId="72" xfId="0" applyNumberFormat="1" applyFont="1" applyFill="1" applyBorder="1" applyAlignment="1">
      <alignment horizontal="center" vertical="center" wrapText="1"/>
    </xf>
    <xf numFmtId="166" fontId="11" fillId="1" borderId="41" xfId="0" applyNumberFormat="1" applyFont="1" applyFill="1" applyBorder="1" applyAlignment="1">
      <alignment vertical="center" wrapText="1"/>
    </xf>
    <xf numFmtId="166" fontId="11" fillId="1" borderId="37" xfId="0" applyNumberFormat="1" applyFont="1" applyFill="1" applyBorder="1" applyAlignment="1" applyProtection="1">
      <alignment vertical="center" wrapText="1"/>
      <protection locked="0"/>
    </xf>
    <xf numFmtId="166" fontId="10" fillId="1" borderId="29" xfId="0" applyNumberFormat="1" applyFont="1" applyFill="1" applyBorder="1" applyAlignment="1">
      <alignment vertical="center" wrapText="1"/>
    </xf>
    <xf numFmtId="0" fontId="9" fillId="7" borderId="4" xfId="0" applyFont="1" applyFill="1" applyBorder="1" applyAlignment="1">
      <alignment horizontal="center" vertical="center" wrapText="1"/>
    </xf>
    <xf numFmtId="0" fontId="12"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center" vertical="center"/>
    </xf>
    <xf numFmtId="0" fontId="15" fillId="0" borderId="9" xfId="0" applyFont="1" applyBorder="1" applyAlignment="1">
      <alignment vertical="center"/>
    </xf>
    <xf numFmtId="0" fontId="16" fillId="8" borderId="115" xfId="0" applyFont="1" applyFill="1" applyBorder="1" applyAlignment="1">
      <alignment horizontal="center" vertical="center"/>
    </xf>
    <xf numFmtId="0" fontId="16" fillId="8" borderId="74" xfId="0" applyFont="1" applyFill="1" applyBorder="1" applyAlignment="1">
      <alignment horizontal="center" vertical="center" wrapText="1"/>
    </xf>
    <xf numFmtId="0" fontId="16" fillId="8" borderId="72" xfId="0" applyFont="1" applyFill="1" applyBorder="1" applyAlignment="1">
      <alignment horizontal="center" vertical="center" wrapText="1"/>
    </xf>
    <xf numFmtId="0" fontId="16" fillId="8" borderId="73" xfId="0" applyFont="1" applyFill="1" applyBorder="1" applyAlignment="1">
      <alignment horizontal="center" vertical="center" wrapText="1"/>
    </xf>
    <xf numFmtId="166" fontId="16" fillId="8" borderId="85" xfId="0" applyNumberFormat="1" applyFont="1" applyFill="1" applyBorder="1" applyAlignment="1">
      <alignment vertical="center" wrapText="1"/>
    </xf>
    <xf numFmtId="0" fontId="14" fillId="0" borderId="0" xfId="0" applyFont="1" applyAlignment="1">
      <alignment vertical="center"/>
    </xf>
    <xf numFmtId="0" fontId="16" fillId="8" borderId="77" xfId="0" applyFont="1" applyFill="1" applyBorder="1" applyAlignment="1">
      <alignment horizontal="center" vertical="center"/>
    </xf>
    <xf numFmtId="166" fontId="16" fillId="8" borderId="70" xfId="0" applyNumberFormat="1" applyFont="1" applyFill="1" applyBorder="1" applyAlignment="1">
      <alignment horizontal="center" vertical="center" wrapText="1"/>
    </xf>
    <xf numFmtId="166" fontId="16" fillId="8" borderId="71"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9" fontId="15" fillId="0" borderId="0" xfId="8" applyFont="1" applyFill="1" applyAlignment="1" applyProtection="1">
      <alignment horizontal="center" vertical="center" wrapText="1"/>
    </xf>
    <xf numFmtId="0" fontId="16" fillId="0" borderId="0" xfId="0" applyFont="1" applyAlignment="1">
      <alignment horizontal="center" vertical="center"/>
    </xf>
    <xf numFmtId="166" fontId="22" fillId="1" borderId="47" xfId="0" applyNumberFormat="1" applyFont="1" applyFill="1" applyBorder="1" applyAlignment="1">
      <alignment horizontal="center" vertical="center" wrapText="1"/>
    </xf>
    <xf numFmtId="166" fontId="22" fillId="1" borderId="29" xfId="0" applyNumberFormat="1" applyFont="1" applyFill="1" applyBorder="1" applyAlignment="1">
      <alignment horizontal="center" vertical="center" wrapText="1"/>
    </xf>
    <xf numFmtId="0" fontId="18" fillId="8" borderId="0" xfId="0" applyFont="1" applyFill="1" applyAlignment="1">
      <alignment horizontal="center" vertical="center"/>
    </xf>
    <xf numFmtId="0" fontId="23" fillId="0" borderId="0" xfId="0" applyFont="1" applyAlignment="1">
      <alignment vertical="center"/>
    </xf>
    <xf numFmtId="0" fontId="8" fillId="8" borderId="0" xfId="0" applyFont="1" applyFill="1" applyAlignment="1">
      <alignment horizontal="center" vertical="center"/>
    </xf>
    <xf numFmtId="0" fontId="24" fillId="0" borderId="0" xfId="0" applyFont="1" applyAlignment="1">
      <alignment vertical="center"/>
    </xf>
    <xf numFmtId="0" fontId="19" fillId="8" borderId="0" xfId="0" applyFont="1" applyFill="1" applyAlignment="1">
      <alignment vertical="center"/>
    </xf>
    <xf numFmtId="0" fontId="14" fillId="0" borderId="0" xfId="0" applyFont="1" applyAlignment="1">
      <alignment horizontal="justify" vertical="center" wrapText="1"/>
    </xf>
    <xf numFmtId="0" fontId="14" fillId="8" borderId="0" xfId="0" applyFont="1" applyFill="1" applyAlignment="1">
      <alignment vertical="center"/>
    </xf>
    <xf numFmtId="0" fontId="0" fillId="8" borderId="0" xfId="0" applyFill="1" applyAlignment="1">
      <alignment vertical="center"/>
    </xf>
    <xf numFmtId="0" fontId="0" fillId="0" borderId="0" xfId="0" applyAlignment="1">
      <alignment horizontal="left" vertical="center"/>
    </xf>
    <xf numFmtId="0" fontId="2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4" fillId="8" borderId="0" xfId="0" applyFont="1" applyFill="1" applyAlignment="1">
      <alignment vertical="center"/>
    </xf>
    <xf numFmtId="0" fontId="26" fillId="8" borderId="0" xfId="0" applyFont="1" applyFill="1" applyAlignment="1">
      <alignment vertical="center" wrapText="1"/>
    </xf>
    <xf numFmtId="0" fontId="26" fillId="0" borderId="0" xfId="0" applyFont="1" applyAlignment="1">
      <alignment vertical="center" wrapText="1"/>
    </xf>
    <xf numFmtId="0" fontId="24" fillId="0" borderId="0" xfId="0" applyFont="1" applyAlignment="1">
      <alignment horizontal="justify" vertical="center" wrapText="1"/>
    </xf>
    <xf numFmtId="0" fontId="0" fillId="2" borderId="0" xfId="0" applyFill="1" applyAlignment="1">
      <alignment vertical="center"/>
    </xf>
    <xf numFmtId="0" fontId="0" fillId="8" borderId="67" xfId="0" applyFill="1" applyBorder="1" applyAlignment="1">
      <alignment vertical="center"/>
    </xf>
    <xf numFmtId="0" fontId="0" fillId="8" borderId="62" xfId="0" applyFill="1" applyBorder="1" applyAlignment="1">
      <alignment vertical="center"/>
    </xf>
    <xf numFmtId="0" fontId="0" fillId="8" borderId="68" xfId="0" applyFill="1" applyBorder="1" applyAlignment="1">
      <alignment vertical="center"/>
    </xf>
    <xf numFmtId="0" fontId="0" fillId="0" borderId="28" xfId="0" applyBorder="1" applyAlignment="1">
      <alignment vertical="center"/>
    </xf>
    <xf numFmtId="0" fontId="0" fillId="2" borderId="2" xfId="0" applyFill="1" applyBorder="1" applyAlignment="1">
      <alignment vertical="center"/>
    </xf>
    <xf numFmtId="0" fontId="0" fillId="0" borderId="1" xfId="0" applyBorder="1" applyAlignment="1">
      <alignment vertical="center"/>
    </xf>
    <xf numFmtId="0" fontId="29" fillId="2" borderId="0" xfId="0" applyFont="1" applyFill="1" applyAlignment="1">
      <alignment vertical="center"/>
    </xf>
    <xf numFmtId="0" fontId="24" fillId="2" borderId="0" xfId="0" applyFont="1" applyFill="1" applyAlignment="1">
      <alignment vertical="center"/>
    </xf>
    <xf numFmtId="0" fontId="8" fillId="8" borderId="13" xfId="0" applyFont="1" applyFill="1" applyBorder="1" applyAlignment="1">
      <alignment vertical="center" wrapText="1"/>
    </xf>
    <xf numFmtId="0" fontId="30" fillId="0" borderId="0" xfId="0" applyFont="1" applyAlignment="1">
      <alignment vertical="center"/>
    </xf>
    <xf numFmtId="164" fontId="30" fillId="0" borderId="0" xfId="6" applyFont="1" applyAlignment="1">
      <alignment vertical="center"/>
    </xf>
    <xf numFmtId="164" fontId="32" fillId="0" borderId="0" xfId="6" applyFont="1" applyAlignment="1">
      <alignment vertical="center"/>
    </xf>
    <xf numFmtId="164" fontId="33" fillId="0" borderId="0" xfId="6" applyFont="1" applyBorder="1" applyAlignment="1">
      <alignment vertical="center"/>
    </xf>
    <xf numFmtId="164" fontId="30" fillId="0" borderId="0" xfId="6" applyFont="1" applyAlignment="1">
      <alignment horizontal="right" vertical="center"/>
    </xf>
    <xf numFmtId="164" fontId="33" fillId="0" borderId="0" xfId="6" applyFont="1" applyAlignment="1">
      <alignment vertical="center"/>
    </xf>
    <xf numFmtId="164" fontId="30" fillId="0" borderId="0" xfId="6" applyFont="1" applyBorder="1" applyAlignment="1">
      <alignment vertical="center"/>
    </xf>
    <xf numFmtId="10" fontId="30" fillId="0" borderId="0" xfId="8" applyNumberFormat="1" applyFont="1" applyBorder="1" applyAlignment="1">
      <alignment vertical="center"/>
    </xf>
    <xf numFmtId="0" fontId="30" fillId="2" borderId="0" xfId="0" applyFont="1" applyFill="1" applyAlignment="1">
      <alignment vertical="center"/>
    </xf>
    <xf numFmtId="0" fontId="30" fillId="8" borderId="2" xfId="0" applyFont="1" applyFill="1" applyBorder="1" applyAlignment="1">
      <alignment vertical="center"/>
    </xf>
    <xf numFmtId="0" fontId="34" fillId="8" borderId="56" xfId="0" applyFont="1" applyFill="1" applyBorder="1" applyAlignment="1">
      <alignment vertical="center"/>
    </xf>
    <xf numFmtId="0" fontId="30" fillId="8" borderId="58" xfId="0" applyFont="1" applyFill="1" applyBorder="1" applyAlignment="1">
      <alignment vertical="center"/>
    </xf>
    <xf numFmtId="0" fontId="30" fillId="8" borderId="1" xfId="0" applyFont="1" applyFill="1" applyBorder="1" applyAlignment="1">
      <alignment vertical="center"/>
    </xf>
    <xf numFmtId="0" fontId="30" fillId="8" borderId="26" xfId="0" applyFont="1" applyFill="1" applyBorder="1" applyAlignment="1">
      <alignment vertical="center"/>
    </xf>
    <xf numFmtId="0" fontId="35" fillId="8" borderId="57" xfId="0" applyFont="1" applyFill="1" applyBorder="1" applyAlignment="1">
      <alignment horizontal="center" vertical="center"/>
    </xf>
    <xf numFmtId="0" fontId="35" fillId="8" borderId="61" xfId="0" applyFont="1" applyFill="1" applyBorder="1" applyAlignment="1">
      <alignment horizontal="center" vertical="center"/>
    </xf>
    <xf numFmtId="0" fontId="30" fillId="8" borderId="0" xfId="0" applyFont="1" applyFill="1" applyAlignment="1">
      <alignment vertical="center"/>
    </xf>
    <xf numFmtId="0" fontId="36" fillId="0" borderId="0" xfId="0" applyFont="1" applyAlignment="1">
      <alignment vertical="center" wrapText="1"/>
    </xf>
    <xf numFmtId="0" fontId="30" fillId="8" borderId="69" xfId="0" applyFont="1" applyFill="1" applyBorder="1" applyAlignment="1">
      <alignment vertical="center"/>
    </xf>
    <xf numFmtId="0" fontId="30" fillId="8" borderId="0" xfId="0" applyFont="1" applyFill="1" applyAlignment="1">
      <alignment vertical="center" wrapText="1"/>
    </xf>
    <xf numFmtId="0" fontId="31" fillId="8" borderId="1" xfId="0" applyFont="1" applyFill="1" applyBorder="1" applyAlignment="1">
      <alignment horizontal="center" vertical="center" wrapText="1"/>
    </xf>
    <xf numFmtId="166" fontId="30" fillId="8" borderId="63" xfId="0" applyNumberFormat="1" applyFont="1" applyFill="1" applyBorder="1" applyAlignment="1">
      <alignment vertical="center"/>
    </xf>
    <xf numFmtId="166" fontId="30" fillId="8" borderId="64" xfId="0" applyNumberFormat="1" applyFont="1" applyFill="1" applyBorder="1" applyAlignment="1">
      <alignment vertical="center"/>
    </xf>
    <xf numFmtId="166" fontId="31" fillId="0" borderId="0" xfId="0" applyNumberFormat="1" applyFont="1" applyAlignment="1">
      <alignment horizontal="center" vertical="center" wrapText="1"/>
    </xf>
    <xf numFmtId="166" fontId="31" fillId="8" borderId="1" xfId="0" applyNumberFormat="1" applyFont="1" applyFill="1" applyBorder="1" applyAlignment="1">
      <alignment vertical="center" wrapText="1"/>
    </xf>
    <xf numFmtId="166" fontId="30" fillId="8" borderId="65" xfId="0" applyNumberFormat="1" applyFont="1" applyFill="1" applyBorder="1" applyAlignment="1">
      <alignment vertical="center"/>
    </xf>
    <xf numFmtId="166" fontId="30" fillId="8" borderId="66" xfId="0" applyNumberFormat="1" applyFont="1" applyFill="1" applyBorder="1" applyAlignment="1">
      <alignment vertical="center"/>
    </xf>
    <xf numFmtId="0" fontId="31" fillId="8" borderId="4" xfId="0" applyFont="1" applyFill="1" applyBorder="1" applyAlignment="1">
      <alignment horizontal="center" vertical="center"/>
    </xf>
    <xf numFmtId="0" fontId="31" fillId="8" borderId="4" xfId="0" applyFont="1" applyFill="1" applyBorder="1" applyAlignment="1">
      <alignment horizontal="center" vertical="center" wrapText="1"/>
    </xf>
    <xf numFmtId="166" fontId="31" fillId="8" borderId="4" xfId="0" applyNumberFormat="1" applyFont="1" applyFill="1" applyBorder="1" applyAlignment="1">
      <alignment horizontal="center" vertical="center" wrapText="1"/>
    </xf>
    <xf numFmtId="166" fontId="31" fillId="8" borderId="0" xfId="0" applyNumberFormat="1" applyFont="1" applyFill="1" applyAlignment="1">
      <alignment vertical="center" wrapText="1"/>
    </xf>
    <xf numFmtId="0" fontId="30" fillId="8" borderId="16" xfId="0" applyFont="1" applyFill="1" applyBorder="1" applyAlignment="1">
      <alignment vertical="center"/>
    </xf>
    <xf numFmtId="0" fontId="30" fillId="8" borderId="11" xfId="0" applyFont="1" applyFill="1" applyBorder="1" applyAlignment="1">
      <alignment vertical="center"/>
    </xf>
    <xf numFmtId="0" fontId="35" fillId="8" borderId="12" xfId="0" applyFont="1" applyFill="1" applyBorder="1" applyAlignment="1">
      <alignment vertical="center" wrapText="1"/>
    </xf>
    <xf numFmtId="166" fontId="31" fillId="8" borderId="14" xfId="0" applyNumberFormat="1" applyFont="1" applyFill="1" applyBorder="1" applyAlignment="1">
      <alignment vertical="center" wrapText="1"/>
    </xf>
    <xf numFmtId="0" fontId="0" fillId="8" borderId="58" xfId="0" applyFill="1" applyBorder="1" applyAlignment="1">
      <alignment vertical="center"/>
    </xf>
    <xf numFmtId="0" fontId="0" fillId="8" borderId="56" xfId="0" applyFill="1" applyBorder="1" applyAlignment="1">
      <alignment vertical="center"/>
    </xf>
    <xf numFmtId="3" fontId="25" fillId="6" borderId="4" xfId="0" applyNumberFormat="1" applyFont="1" applyFill="1" applyBorder="1" applyAlignment="1">
      <alignment vertical="center"/>
    </xf>
    <xf numFmtId="0" fontId="38" fillId="8" borderId="58" xfId="0" applyFont="1" applyFill="1" applyBorder="1" applyAlignment="1">
      <alignment horizontal="center" vertical="top"/>
    </xf>
    <xf numFmtId="0" fontId="18" fillId="8" borderId="0" xfId="0" applyFont="1" applyFill="1" applyAlignment="1">
      <alignment vertical="center"/>
    </xf>
    <xf numFmtId="0" fontId="39" fillId="8" borderId="0" xfId="0" applyFont="1" applyFill="1" applyAlignment="1">
      <alignment horizontal="center" vertical="center"/>
    </xf>
    <xf numFmtId="41" fontId="28" fillId="6" borderId="18" xfId="3" applyFont="1" applyFill="1" applyBorder="1" applyAlignment="1" applyProtection="1">
      <alignment vertical="center"/>
    </xf>
    <xf numFmtId="9" fontId="28" fillId="6" borderId="18" xfId="8" applyFont="1" applyFill="1" applyBorder="1" applyAlignment="1" applyProtection="1">
      <alignment vertical="center"/>
    </xf>
    <xf numFmtId="41" fontId="25" fillId="10" borderId="4" xfId="3" applyFont="1" applyFill="1" applyBorder="1" applyAlignment="1" applyProtection="1">
      <alignment vertical="center"/>
    </xf>
    <xf numFmtId="0" fontId="40" fillId="8" borderId="58" xfId="0" applyFont="1" applyFill="1" applyBorder="1" applyAlignment="1">
      <alignment horizontal="center" vertical="top"/>
    </xf>
    <xf numFmtId="41" fontId="28" fillId="6" borderId="4" xfId="3" applyFont="1" applyFill="1" applyBorder="1" applyAlignment="1" applyProtection="1">
      <alignment vertical="center"/>
    </xf>
    <xf numFmtId="9" fontId="28" fillId="6" borderId="4" xfId="8" applyFont="1" applyFill="1" applyBorder="1" applyAlignment="1" applyProtection="1">
      <alignment vertical="center"/>
    </xf>
    <xf numFmtId="166" fontId="20" fillId="8" borderId="56" xfId="0" applyNumberFormat="1" applyFont="1" applyFill="1" applyBorder="1" applyAlignment="1">
      <alignment vertical="center" wrapText="1"/>
    </xf>
    <xf numFmtId="166" fontId="43" fillId="8" borderId="0" xfId="0" applyNumberFormat="1" applyFont="1" applyFill="1" applyAlignment="1">
      <alignment horizontal="center" vertical="center"/>
    </xf>
    <xf numFmtId="0" fontId="0" fillId="8" borderId="59" xfId="0" applyFill="1" applyBorder="1" applyAlignment="1">
      <alignment vertical="center"/>
    </xf>
    <xf numFmtId="0" fontId="0" fillId="8" borderId="25" xfId="0" applyFill="1" applyBorder="1" applyAlignment="1">
      <alignment vertical="center"/>
    </xf>
    <xf numFmtId="166" fontId="19" fillId="8" borderId="25" xfId="0" applyNumberFormat="1" applyFont="1" applyFill="1" applyBorder="1" applyAlignment="1">
      <alignment horizontal="center" vertical="center"/>
    </xf>
    <xf numFmtId="0" fontId="0" fillId="8" borderId="26" xfId="0" applyFill="1" applyBorder="1" applyAlignment="1">
      <alignment vertical="center"/>
    </xf>
    <xf numFmtId="0" fontId="0" fillId="8" borderId="60" xfId="0" applyFill="1" applyBorder="1" applyAlignment="1">
      <alignment vertical="center"/>
    </xf>
    <xf numFmtId="166" fontId="19" fillId="8" borderId="0" xfId="0" applyNumberFormat="1" applyFont="1" applyFill="1" applyAlignment="1">
      <alignment horizontal="center" vertical="center"/>
    </xf>
    <xf numFmtId="0" fontId="0" fillId="8" borderId="61" xfId="0" applyFill="1" applyBorder="1" applyAlignment="1">
      <alignment vertical="center"/>
    </xf>
    <xf numFmtId="0" fontId="40" fillId="8" borderId="60" xfId="0" applyFont="1" applyFill="1" applyBorder="1" applyAlignment="1">
      <alignment vertical="center"/>
    </xf>
    <xf numFmtId="166" fontId="20" fillId="8" borderId="0" xfId="0" applyNumberFormat="1" applyFont="1" applyFill="1" applyAlignment="1">
      <alignment vertical="center" wrapText="1"/>
    </xf>
    <xf numFmtId="0" fontId="0" fillId="8" borderId="0" xfId="0" applyFill="1" applyAlignment="1">
      <alignment horizontal="left" vertical="center"/>
    </xf>
    <xf numFmtId="166" fontId="15" fillId="8" borderId="0" xfId="0" applyNumberFormat="1" applyFont="1" applyFill="1" applyAlignment="1">
      <alignment horizontal="center" vertical="center"/>
    </xf>
    <xf numFmtId="0" fontId="0" fillId="8" borderId="27" xfId="0" applyFill="1" applyBorder="1" applyAlignment="1">
      <alignment vertical="center"/>
    </xf>
    <xf numFmtId="0" fontId="0" fillId="8" borderId="25" xfId="0" applyFill="1" applyBorder="1" applyAlignment="1">
      <alignment horizontal="left" vertical="center"/>
    </xf>
    <xf numFmtId="41" fontId="44" fillId="8" borderId="25" xfId="3" applyFont="1" applyFill="1" applyBorder="1" applyAlignment="1" applyProtection="1">
      <alignment horizontal="center" vertical="center"/>
    </xf>
    <xf numFmtId="166" fontId="20" fillId="8" borderId="26" xfId="0" applyNumberFormat="1" applyFont="1" applyFill="1" applyBorder="1" applyAlignment="1">
      <alignment vertical="center" wrapText="1"/>
    </xf>
    <xf numFmtId="166" fontId="4" fillId="8" borderId="0" xfId="0" applyNumberFormat="1" applyFont="1" applyFill="1" applyAlignment="1">
      <alignment horizontal="center" vertical="center" wrapText="1"/>
    </xf>
    <xf numFmtId="0" fontId="16" fillId="8" borderId="87" xfId="0" applyFont="1" applyFill="1" applyBorder="1" applyAlignment="1">
      <alignment horizontal="center" vertical="center" wrapText="1"/>
    </xf>
    <xf numFmtId="0" fontId="0" fillId="2" borderId="27" xfId="0" applyFill="1" applyBorder="1" applyAlignment="1">
      <alignment vertical="center"/>
    </xf>
    <xf numFmtId="0" fontId="0" fillId="2" borderId="25" xfId="0" applyFill="1" applyBorder="1" applyAlignment="1">
      <alignment vertical="center"/>
    </xf>
    <xf numFmtId="0" fontId="19" fillId="2" borderId="25" xfId="0" applyFont="1" applyFill="1" applyBorder="1" applyAlignment="1">
      <alignment vertical="center"/>
    </xf>
    <xf numFmtId="0" fontId="0" fillId="2" borderId="26" xfId="0" applyFill="1" applyBorder="1" applyAlignment="1">
      <alignment vertical="center"/>
    </xf>
    <xf numFmtId="0" fontId="0" fillId="0" borderId="25" xfId="0" applyBorder="1" applyAlignment="1">
      <alignment vertical="center"/>
    </xf>
    <xf numFmtId="0" fontId="45" fillId="0" borderId="0" xfId="0" applyFont="1" applyAlignment="1">
      <alignment vertical="center"/>
    </xf>
    <xf numFmtId="0" fontId="8" fillId="8" borderId="0" xfId="0" applyFont="1" applyFill="1" applyAlignment="1">
      <alignment vertical="center"/>
    </xf>
    <xf numFmtId="0" fontId="14" fillId="8" borderId="13" xfId="0" applyFont="1" applyFill="1" applyBorder="1" applyAlignment="1">
      <alignment horizontal="justify" vertical="center" wrapText="1"/>
    </xf>
    <xf numFmtId="0" fontId="14" fillId="8" borderId="5" xfId="0" applyFont="1" applyFill="1" applyBorder="1" applyAlignment="1">
      <alignment horizontal="justify" vertical="center" wrapText="1"/>
    </xf>
    <xf numFmtId="0" fontId="16" fillId="8" borderId="5" xfId="0" applyFont="1" applyFill="1" applyBorder="1" applyAlignment="1">
      <alignment horizontal="center" vertical="center" wrapText="1"/>
    </xf>
    <xf numFmtId="0" fontId="14" fillId="8" borderId="10" xfId="0" applyFont="1" applyFill="1" applyBorder="1" applyAlignment="1">
      <alignment horizontal="justify" vertical="center" wrapText="1"/>
    </xf>
    <xf numFmtId="0" fontId="14" fillId="3" borderId="0" xfId="0" applyFont="1" applyFill="1" applyAlignment="1">
      <alignment horizontal="justify" vertical="center" wrapText="1"/>
    </xf>
    <xf numFmtId="0" fontId="14" fillId="8" borderId="2" xfId="0" applyFont="1" applyFill="1" applyBorder="1" applyAlignment="1">
      <alignment horizontal="justify" vertical="center" wrapText="1"/>
    </xf>
    <xf numFmtId="0" fontId="25" fillId="0" borderId="0" xfId="0" applyFont="1" applyAlignment="1">
      <alignment horizontal="left" vertical="center"/>
    </xf>
    <xf numFmtId="0" fontId="14" fillId="0" borderId="0" xfId="0" applyFont="1" applyAlignment="1">
      <alignment horizontal="left" vertical="center"/>
    </xf>
    <xf numFmtId="0" fontId="14" fillId="8" borderId="0" xfId="0" applyFont="1" applyFill="1" applyAlignment="1">
      <alignment horizontal="justify" vertical="center" wrapText="1"/>
    </xf>
    <xf numFmtId="0" fontId="14" fillId="8" borderId="1" xfId="0" applyFont="1" applyFill="1" applyBorder="1" applyAlignment="1">
      <alignment horizontal="justify" vertical="center" wrapText="1"/>
    </xf>
    <xf numFmtId="0" fontId="14" fillId="8" borderId="2" xfId="0" applyFont="1" applyFill="1" applyBorder="1" applyAlignment="1">
      <alignment vertical="center"/>
    </xf>
    <xf numFmtId="0" fontId="14" fillId="8" borderId="1" xfId="0" applyFont="1" applyFill="1" applyBorder="1" applyAlignment="1">
      <alignment vertical="center"/>
    </xf>
    <xf numFmtId="0" fontId="13" fillId="8" borderId="4" xfId="0" applyFont="1" applyFill="1" applyBorder="1" applyAlignment="1">
      <alignment horizontal="center" vertical="center" wrapText="1"/>
    </xf>
    <xf numFmtId="165" fontId="20" fillId="4" borderId="4" xfId="5" applyFont="1" applyFill="1" applyBorder="1" applyAlignment="1" applyProtection="1">
      <alignment horizontal="justify" vertical="center" wrapText="1"/>
    </xf>
    <xf numFmtId="0" fontId="20" fillId="4" borderId="4" xfId="0" applyFont="1" applyFill="1" applyBorder="1" applyAlignment="1">
      <alignment horizontal="center" vertical="center" wrapText="1"/>
    </xf>
    <xf numFmtId="166" fontId="25" fillId="0" borderId="4" xfId="5" applyNumberFormat="1" applyFont="1" applyFill="1" applyBorder="1" applyAlignment="1" applyProtection="1">
      <alignment horizontal="justify" vertical="center" wrapText="1"/>
    </xf>
    <xf numFmtId="0" fontId="16" fillId="8" borderId="0" xfId="0" applyFont="1" applyFill="1" applyAlignment="1">
      <alignment horizontal="justify" vertical="center" wrapText="1"/>
    </xf>
    <xf numFmtId="0" fontId="5" fillId="0" borderId="0" xfId="0" applyFont="1"/>
    <xf numFmtId="0" fontId="48" fillId="0" borderId="0" xfId="0" applyFont="1" applyAlignment="1">
      <alignment vertical="center"/>
    </xf>
    <xf numFmtId="0" fontId="33" fillId="0" borderId="0" xfId="0" applyFont="1" applyAlignment="1">
      <alignment vertical="center"/>
    </xf>
    <xf numFmtId="0" fontId="33" fillId="0" borderId="9" xfId="0" applyFont="1" applyBorder="1" applyAlignment="1">
      <alignment vertical="center"/>
    </xf>
    <xf numFmtId="0" fontId="33" fillId="0" borderId="0" xfId="0" applyFont="1" applyAlignment="1">
      <alignment horizontal="center" vertical="center" wrapText="1"/>
    </xf>
    <xf numFmtId="0" fontId="35" fillId="8" borderId="129" xfId="0" applyFont="1" applyFill="1" applyBorder="1" applyAlignment="1">
      <alignment horizontal="center" vertical="center"/>
    </xf>
    <xf numFmtId="0" fontId="35" fillId="8" borderId="131" xfId="0" applyFont="1" applyFill="1" applyBorder="1" applyAlignment="1">
      <alignment horizontal="center" vertical="center" wrapText="1"/>
    </xf>
    <xf numFmtId="0" fontId="35" fillId="8" borderId="125" xfId="0" applyFont="1" applyFill="1" applyBorder="1" applyAlignment="1">
      <alignment horizontal="center" vertical="center" wrapText="1"/>
    </xf>
    <xf numFmtId="0" fontId="35" fillId="8" borderId="126" xfId="0" applyFont="1" applyFill="1" applyBorder="1" applyAlignment="1">
      <alignment horizontal="center" vertical="center" wrapText="1"/>
    </xf>
    <xf numFmtId="166" fontId="35" fillId="8" borderId="132" xfId="0" applyNumberFormat="1" applyFont="1" applyFill="1" applyBorder="1" applyAlignment="1">
      <alignment vertical="center" wrapText="1"/>
    </xf>
    <xf numFmtId="166" fontId="36" fillId="1" borderId="133" xfId="0" applyNumberFormat="1" applyFont="1" applyFill="1" applyBorder="1" applyAlignment="1">
      <alignment horizontal="center" vertical="center" wrapText="1"/>
    </xf>
    <xf numFmtId="166" fontId="30" fillId="0" borderId="0" xfId="0" applyNumberFormat="1" applyFont="1" applyAlignment="1">
      <alignment vertical="center"/>
    </xf>
    <xf numFmtId="166" fontId="35" fillId="8" borderId="122" xfId="0" applyNumberFormat="1" applyFont="1" applyFill="1" applyBorder="1" applyAlignment="1">
      <alignment vertical="center" wrapText="1"/>
    </xf>
    <xf numFmtId="166" fontId="36" fillId="1" borderId="123" xfId="0" applyNumberFormat="1" applyFont="1" applyFill="1" applyBorder="1" applyAlignment="1">
      <alignment horizontal="center" vertical="center" wrapText="1"/>
    </xf>
    <xf numFmtId="9" fontId="30" fillId="0" borderId="0" xfId="8" applyFont="1" applyFill="1" applyAlignment="1" applyProtection="1">
      <alignment vertical="center"/>
    </xf>
    <xf numFmtId="166" fontId="35" fillId="8" borderId="122" xfId="0" applyNumberFormat="1" applyFont="1" applyFill="1" applyBorder="1" applyAlignment="1">
      <alignment horizontal="center" vertical="center" wrapText="1"/>
    </xf>
    <xf numFmtId="166" fontId="35" fillId="8" borderId="122" xfId="5" applyNumberFormat="1" applyFont="1" applyFill="1" applyBorder="1" applyAlignment="1" applyProtection="1">
      <alignment horizontal="left" vertical="center" wrapText="1"/>
    </xf>
    <xf numFmtId="166" fontId="36" fillId="1" borderId="4" xfId="0" applyNumberFormat="1" applyFont="1" applyFill="1" applyBorder="1" applyAlignment="1">
      <alignment horizontal="center" vertical="center" wrapText="1"/>
    </xf>
    <xf numFmtId="166" fontId="35" fillId="8" borderId="127" xfId="5" applyNumberFormat="1" applyFont="1" applyFill="1" applyBorder="1" applyAlignment="1" applyProtection="1">
      <alignment horizontal="left" vertical="center" wrapText="1"/>
    </xf>
    <xf numFmtId="166" fontId="36" fillId="1" borderId="17" xfId="0" applyNumberFormat="1" applyFont="1" applyFill="1" applyBorder="1" applyAlignment="1">
      <alignment horizontal="center" vertical="center" wrapText="1"/>
    </xf>
    <xf numFmtId="0" fontId="35" fillId="8" borderId="15" xfId="0" applyFont="1" applyFill="1" applyBorder="1" applyAlignment="1">
      <alignment horizontal="center" vertical="center"/>
    </xf>
    <xf numFmtId="166" fontId="35" fillId="8" borderId="129" xfId="0" applyNumberFormat="1" applyFont="1" applyFill="1" applyBorder="1" applyAlignment="1">
      <alignment horizontal="center" vertical="center" wrapText="1"/>
    </xf>
    <xf numFmtId="166" fontId="35" fillId="8" borderId="130" xfId="0" applyNumberFormat="1" applyFont="1" applyFill="1" applyBorder="1" applyAlignment="1">
      <alignment horizontal="center" vertical="center" wrapText="1"/>
    </xf>
    <xf numFmtId="166" fontId="35" fillId="8" borderId="131" xfId="0" applyNumberFormat="1" applyFont="1" applyFill="1" applyBorder="1" applyAlignment="1">
      <alignment horizontal="center" vertical="center" wrapText="1"/>
    </xf>
    <xf numFmtId="0" fontId="33" fillId="0" borderId="3" xfId="0" applyFont="1" applyBorder="1" applyAlignment="1">
      <alignment horizontal="center" vertical="center" wrapText="1"/>
    </xf>
    <xf numFmtId="9" fontId="33" fillId="0" borderId="0" xfId="8" applyFont="1" applyFill="1" applyAlignment="1" applyProtection="1">
      <alignment horizontal="center" vertical="center" wrapText="1"/>
    </xf>
    <xf numFmtId="0" fontId="30" fillId="0" borderId="0" xfId="0" applyFont="1"/>
    <xf numFmtId="0" fontId="50" fillId="0" borderId="0" xfId="0" applyFont="1" applyAlignment="1">
      <alignment vertical="center"/>
    </xf>
    <xf numFmtId="0" fontId="51" fillId="0" borderId="0" xfId="0" applyFont="1" applyAlignment="1">
      <alignment vertical="center"/>
    </xf>
    <xf numFmtId="0" fontId="33" fillId="8" borderId="0" xfId="0" applyFont="1" applyFill="1" applyAlignment="1">
      <alignment vertical="center"/>
    </xf>
    <xf numFmtId="0" fontId="36" fillId="8" borderId="0" xfId="0" applyFont="1" applyFill="1" applyAlignment="1">
      <alignment vertical="center" wrapText="1"/>
    </xf>
    <xf numFmtId="0" fontId="30" fillId="0" borderId="0" xfId="0" applyFont="1" applyAlignment="1">
      <alignment horizontal="justify" vertical="center" wrapText="1"/>
    </xf>
    <xf numFmtId="0" fontId="31" fillId="0" borderId="0" xfId="0" applyFont="1" applyAlignment="1">
      <alignment vertical="center"/>
    </xf>
    <xf numFmtId="0" fontId="30" fillId="0" borderId="6" xfId="0" applyFont="1" applyBorder="1" applyAlignment="1">
      <alignment horizontal="justify" vertical="center" wrapText="1"/>
    </xf>
    <xf numFmtId="0" fontId="30" fillId="8" borderId="0" xfId="0" applyFont="1" applyFill="1" applyAlignment="1">
      <alignment horizontal="justify" vertical="center" wrapText="1"/>
    </xf>
    <xf numFmtId="0" fontId="52" fillId="8" borderId="0" xfId="0" applyFont="1" applyFill="1" applyAlignment="1">
      <alignment horizontal="center" vertical="center"/>
    </xf>
    <xf numFmtId="0" fontId="24" fillId="0" borderId="0" xfId="0" applyFont="1"/>
    <xf numFmtId="166" fontId="22" fillId="10" borderId="49" xfId="0" applyNumberFormat="1" applyFont="1" applyFill="1" applyBorder="1" applyAlignment="1" applyProtection="1">
      <alignment vertical="center" wrapText="1"/>
      <protection locked="0"/>
    </xf>
    <xf numFmtId="166" fontId="22" fillId="10" borderId="75" xfId="0" applyNumberFormat="1" applyFont="1" applyFill="1" applyBorder="1" applyAlignment="1" applyProtection="1">
      <alignment vertical="center" wrapText="1"/>
      <protection locked="0"/>
    </xf>
    <xf numFmtId="166" fontId="22" fillId="10" borderId="29" xfId="5" applyNumberFormat="1" applyFont="1" applyFill="1" applyBorder="1" applyAlignment="1" applyProtection="1">
      <alignment horizontal="center" vertical="center" wrapText="1"/>
      <protection locked="0"/>
    </xf>
    <xf numFmtId="166" fontId="22" fillId="10" borderId="36" xfId="5" applyNumberFormat="1" applyFont="1" applyFill="1" applyBorder="1" applyAlignment="1" applyProtection="1">
      <alignment horizontal="center" vertical="center" wrapText="1"/>
      <protection locked="0"/>
    </xf>
    <xf numFmtId="0" fontId="4" fillId="10" borderId="45" xfId="0" applyFont="1" applyFill="1" applyBorder="1" applyAlignment="1">
      <alignment horizontal="left" vertical="center" wrapText="1"/>
    </xf>
    <xf numFmtId="0" fontId="4" fillId="10" borderId="39" xfId="0" applyFont="1" applyFill="1" applyBorder="1" applyAlignment="1">
      <alignment horizontal="left" vertical="center" wrapText="1"/>
    </xf>
    <xf numFmtId="0" fontId="4" fillId="10" borderId="40" xfId="0" applyFont="1" applyFill="1" applyBorder="1" applyAlignment="1">
      <alignment horizontal="left" vertical="center" wrapText="1"/>
    </xf>
    <xf numFmtId="0" fontId="7" fillId="0" borderId="0" xfId="0" applyFont="1" applyAlignment="1">
      <alignment vertical="center" wrapText="1"/>
    </xf>
    <xf numFmtId="0" fontId="12" fillId="0" borderId="4" xfId="0" applyFont="1" applyBorder="1" applyAlignment="1">
      <alignment horizontal="center" vertical="center" wrapText="1"/>
    </xf>
    <xf numFmtId="167" fontId="12" fillId="0" borderId="4" xfId="3" applyNumberFormat="1" applyFont="1" applyBorder="1" applyAlignment="1">
      <alignment horizontal="center" vertical="center" wrapText="1"/>
    </xf>
    <xf numFmtId="0" fontId="7" fillId="0" borderId="0" xfId="0" applyFont="1" applyAlignment="1">
      <alignment horizontal="center" vertical="center" wrapText="1"/>
    </xf>
    <xf numFmtId="41" fontId="12" fillId="11" borderId="4" xfId="3" applyFont="1" applyFill="1" applyBorder="1" applyAlignment="1">
      <alignment horizontal="center" vertical="center" wrapText="1"/>
    </xf>
    <xf numFmtId="41" fontId="12" fillId="11" borderId="4" xfId="3" applyFont="1" applyFill="1" applyBorder="1" applyAlignment="1">
      <alignment horizontal="center" vertical="center"/>
    </xf>
    <xf numFmtId="41" fontId="7" fillId="0" borderId="0" xfId="3" applyFont="1" applyAlignment="1">
      <alignment vertical="center"/>
    </xf>
    <xf numFmtId="41" fontId="12" fillId="12" borderId="4" xfId="3" applyFont="1" applyFill="1" applyBorder="1" applyAlignment="1">
      <alignment horizontal="center" vertical="center" wrapText="1"/>
    </xf>
    <xf numFmtId="41" fontId="12" fillId="12" borderId="4" xfId="3" applyFont="1" applyFill="1" applyBorder="1" applyAlignment="1">
      <alignment horizontal="center" vertical="center"/>
    </xf>
    <xf numFmtId="41" fontId="12" fillId="13" borderId="4" xfId="3" applyFont="1" applyFill="1" applyBorder="1" applyAlignment="1">
      <alignment horizontal="center" vertical="center"/>
    </xf>
    <xf numFmtId="0" fontId="12" fillId="13" borderId="4" xfId="0" applyFont="1" applyFill="1" applyBorder="1" applyAlignment="1">
      <alignment horizontal="center" vertical="center"/>
    </xf>
    <xf numFmtId="0" fontId="6" fillId="7" borderId="4" xfId="0" applyFont="1" applyFill="1" applyBorder="1" applyAlignment="1">
      <alignment vertical="center" wrapText="1"/>
    </xf>
    <xf numFmtId="167" fontId="7" fillId="0" borderId="4" xfId="3" applyNumberFormat="1" applyFont="1" applyBorder="1" applyAlignment="1">
      <alignment vertical="center"/>
    </xf>
    <xf numFmtId="41" fontId="7" fillId="0" borderId="4" xfId="3" applyFont="1" applyBorder="1" applyAlignment="1">
      <alignment vertical="center"/>
    </xf>
    <xf numFmtId="168" fontId="7" fillId="0" borderId="4" xfId="3" applyNumberFormat="1" applyFont="1" applyBorder="1" applyAlignment="1">
      <alignment vertical="center"/>
    </xf>
    <xf numFmtId="41" fontId="12" fillId="0" borderId="4" xfId="3" applyFont="1" applyBorder="1" applyAlignment="1">
      <alignment vertical="center"/>
    </xf>
    <xf numFmtId="167" fontId="12" fillId="11" borderId="4" xfId="3" applyNumberFormat="1" applyFont="1" applyFill="1" applyBorder="1" applyAlignment="1">
      <alignment vertical="center"/>
    </xf>
    <xf numFmtId="41" fontId="12" fillId="11" borderId="4" xfId="3" applyFont="1" applyFill="1" applyBorder="1" applyAlignment="1">
      <alignment vertical="center"/>
    </xf>
    <xf numFmtId="168" fontId="12" fillId="12" borderId="4" xfId="3" applyNumberFormat="1" applyFont="1" applyFill="1" applyBorder="1" applyAlignment="1">
      <alignment vertical="center"/>
    </xf>
    <xf numFmtId="41" fontId="12" fillId="12" borderId="4" xfId="3" applyFont="1" applyFill="1" applyBorder="1" applyAlignment="1">
      <alignment vertical="center"/>
    </xf>
    <xf numFmtId="41" fontId="12" fillId="13" borderId="4" xfId="3" applyFont="1" applyFill="1" applyBorder="1" applyAlignment="1">
      <alignment vertical="center"/>
    </xf>
    <xf numFmtId="167" fontId="7" fillId="0" borderId="0" xfId="3" applyNumberFormat="1" applyFont="1" applyAlignment="1">
      <alignment vertical="center"/>
    </xf>
    <xf numFmtId="168" fontId="7" fillId="0" borderId="0" xfId="3" applyNumberFormat="1" applyFont="1" applyAlignment="1">
      <alignment vertical="center"/>
    </xf>
    <xf numFmtId="0" fontId="7" fillId="0" borderId="4" xfId="0" applyFont="1" applyBorder="1" applyAlignment="1">
      <alignment vertical="center" wrapText="1"/>
    </xf>
    <xf numFmtId="41" fontId="12" fillId="0" borderId="0" xfId="3" applyFont="1" applyAlignment="1">
      <alignment vertical="center"/>
    </xf>
    <xf numFmtId="167" fontId="7" fillId="0" borderId="0" xfId="0" applyNumberFormat="1" applyFont="1" applyAlignment="1">
      <alignment vertical="center"/>
    </xf>
    <xf numFmtId="0" fontId="11" fillId="0" borderId="0" xfId="0" applyFont="1" applyAlignment="1">
      <alignment vertical="center" wrapText="1"/>
    </xf>
    <xf numFmtId="0" fontId="11" fillId="0" borderId="4" xfId="0" applyFont="1" applyBorder="1" applyAlignment="1">
      <alignment vertical="center" wrapText="1"/>
    </xf>
    <xf numFmtId="0" fontId="10" fillId="0" borderId="4" xfId="0" applyFont="1" applyBorder="1" applyAlignment="1">
      <alignment horizontal="center" vertical="center" wrapText="1"/>
    </xf>
    <xf numFmtId="166" fontId="25" fillId="0" borderId="8" xfId="5" applyNumberFormat="1" applyFont="1" applyFill="1" applyBorder="1" applyAlignment="1" applyProtection="1">
      <alignment horizontal="justify" vertical="center" wrapText="1"/>
    </xf>
    <xf numFmtId="0" fontId="30" fillId="3" borderId="4" xfId="0" applyFont="1" applyFill="1" applyBorder="1" applyAlignment="1" applyProtection="1">
      <alignment horizontal="justify" vertical="top" wrapText="1"/>
      <protection locked="0"/>
    </xf>
    <xf numFmtId="0" fontId="14" fillId="10" borderId="4" xfId="2" applyNumberFormat="1" applyFont="1" applyFill="1" applyBorder="1" applyAlignment="1" applyProtection="1">
      <alignment horizontal="center" vertical="center" wrapText="1"/>
      <protection locked="0"/>
    </xf>
    <xf numFmtId="43" fontId="14" fillId="10" borderId="4" xfId="2" applyFont="1" applyFill="1" applyBorder="1" applyAlignment="1" applyProtection="1">
      <alignment horizontal="justify" vertical="center" wrapText="1"/>
      <protection locked="0"/>
    </xf>
    <xf numFmtId="0" fontId="20" fillId="10" borderId="4" xfId="0" applyFont="1" applyFill="1" applyBorder="1" applyAlignment="1" applyProtection="1">
      <alignment horizontal="center" vertical="center" wrapText="1"/>
      <protection locked="0"/>
    </xf>
    <xf numFmtId="165" fontId="14" fillId="10" borderId="4" xfId="5" applyFont="1" applyFill="1" applyBorder="1" applyAlignment="1" applyProtection="1">
      <alignment horizontal="justify" vertical="center" wrapText="1"/>
      <protection locked="0"/>
    </xf>
    <xf numFmtId="166" fontId="25" fillId="10" borderId="8" xfId="5" applyNumberFormat="1" applyFont="1" applyFill="1" applyBorder="1" applyAlignment="1" applyProtection="1">
      <alignment horizontal="left" vertical="center" wrapText="1"/>
      <protection locked="0"/>
    </xf>
    <xf numFmtId="166" fontId="30" fillId="10" borderId="32" xfId="0" applyNumberFormat="1" applyFont="1" applyFill="1" applyBorder="1" applyAlignment="1" applyProtection="1">
      <alignment vertical="center"/>
      <protection locked="0"/>
    </xf>
    <xf numFmtId="0" fontId="31" fillId="10" borderId="31" xfId="0" applyFont="1" applyFill="1" applyBorder="1" applyAlignment="1">
      <alignment vertical="center"/>
    </xf>
    <xf numFmtId="166" fontId="31" fillId="10" borderId="30" xfId="0" applyNumberFormat="1" applyFont="1" applyFill="1" applyBorder="1" applyAlignment="1">
      <alignment horizontal="center" vertical="center"/>
    </xf>
    <xf numFmtId="0" fontId="31" fillId="10" borderId="31" xfId="0" applyFont="1" applyFill="1" applyBorder="1" applyAlignment="1">
      <alignment vertical="center" wrapText="1"/>
    </xf>
    <xf numFmtId="166" fontId="31" fillId="10" borderId="48" xfId="0" applyNumberFormat="1" applyFont="1" applyFill="1" applyBorder="1" applyAlignment="1">
      <alignment horizontal="center" vertical="center"/>
    </xf>
    <xf numFmtId="0" fontId="31" fillId="10" borderId="33" xfId="0" applyFont="1" applyFill="1" applyBorder="1" applyAlignment="1">
      <alignment vertical="center"/>
    </xf>
    <xf numFmtId="0" fontId="31" fillId="10" borderId="34" xfId="0" applyFont="1" applyFill="1" applyBorder="1" applyAlignment="1">
      <alignment vertical="center"/>
    </xf>
    <xf numFmtId="0" fontId="31" fillId="10" borderId="58" xfId="0" applyFont="1" applyFill="1" applyBorder="1" applyAlignment="1">
      <alignment vertical="center"/>
    </xf>
    <xf numFmtId="0" fontId="31" fillId="10" borderId="35" xfId="0" applyFont="1" applyFill="1" applyBorder="1" applyAlignment="1">
      <alignment vertical="center"/>
    </xf>
    <xf numFmtId="0" fontId="31" fillId="11" borderId="8" xfId="0" applyFont="1" applyFill="1" applyBorder="1" applyAlignment="1">
      <alignment vertical="center"/>
    </xf>
    <xf numFmtId="164" fontId="31" fillId="11" borderId="7" xfId="6" applyFont="1" applyFill="1" applyBorder="1" applyAlignment="1">
      <alignment vertical="center"/>
    </xf>
    <xf numFmtId="0" fontId="31" fillId="11" borderId="4" xfId="0" applyFont="1" applyFill="1" applyBorder="1" applyAlignment="1">
      <alignment vertical="center"/>
    </xf>
    <xf numFmtId="164" fontId="31" fillId="11" borderId="8" xfId="6" applyFont="1" applyFill="1" applyBorder="1" applyAlignment="1">
      <alignment vertical="center"/>
    </xf>
    <xf numFmtId="164" fontId="31" fillId="11" borderId="6" xfId="6" applyFont="1" applyFill="1" applyBorder="1" applyAlignment="1">
      <alignment vertical="center"/>
    </xf>
    <xf numFmtId="0" fontId="5" fillId="10" borderId="4" xfId="0" applyFont="1" applyFill="1" applyBorder="1" applyAlignment="1">
      <alignment horizontal="left" vertical="center" wrapText="1" indent="1"/>
    </xf>
    <xf numFmtId="166" fontId="27" fillId="10" borderId="4" xfId="0" applyNumberFormat="1" applyFont="1" applyFill="1" applyBorder="1" applyAlignment="1" applyProtection="1">
      <alignment horizontal="center" vertical="center"/>
      <protection locked="0"/>
    </xf>
    <xf numFmtId="0" fontId="5" fillId="10" borderId="4" xfId="0" applyFont="1" applyFill="1" applyBorder="1" applyAlignment="1">
      <alignment horizontal="left" vertical="center" indent="1"/>
    </xf>
    <xf numFmtId="0" fontId="4" fillId="10" borderId="4" xfId="0" applyFont="1" applyFill="1" applyBorder="1" applyAlignment="1">
      <alignment horizontal="left" vertical="center" wrapText="1" indent="1"/>
    </xf>
    <xf numFmtId="166" fontId="27" fillId="10" borderId="7" xfId="0" applyNumberFormat="1" applyFont="1" applyFill="1" applyBorder="1" applyAlignment="1" applyProtection="1">
      <alignment horizontal="center" vertical="center"/>
      <protection locked="0"/>
    </xf>
    <xf numFmtId="0" fontId="4" fillId="10" borderId="4" xfId="0" applyFont="1" applyFill="1" applyBorder="1" applyAlignment="1">
      <alignment horizontal="left" vertical="center" indent="1"/>
    </xf>
    <xf numFmtId="0" fontId="27" fillId="10" borderId="0" xfId="0" applyFont="1" applyFill="1" applyAlignment="1">
      <alignment horizontal="justify" vertical="center" wrapText="1"/>
    </xf>
    <xf numFmtId="166" fontId="27" fillId="10" borderId="7" xfId="0" applyNumberFormat="1" applyFont="1" applyFill="1" applyBorder="1" applyAlignment="1">
      <alignment horizontal="center" vertical="center"/>
    </xf>
    <xf numFmtId="166" fontId="36" fillId="10" borderId="18" xfId="0" applyNumberFormat="1" applyFont="1" applyFill="1" applyBorder="1" applyAlignment="1">
      <alignment vertical="center" wrapText="1"/>
    </xf>
    <xf numFmtId="166" fontId="36" fillId="10" borderId="4" xfId="0" applyNumberFormat="1" applyFont="1" applyFill="1" applyBorder="1" applyAlignment="1">
      <alignment vertical="center" wrapText="1"/>
    </xf>
    <xf numFmtId="166" fontId="36" fillId="10" borderId="123" xfId="5" applyNumberFormat="1" applyFont="1" applyFill="1" applyBorder="1" applyAlignment="1" applyProtection="1">
      <alignment horizontal="center" vertical="center" wrapText="1"/>
    </xf>
    <xf numFmtId="166" fontId="36" fillId="10" borderId="17" xfId="0" applyNumberFormat="1" applyFont="1" applyFill="1" applyBorder="1" applyAlignment="1">
      <alignment vertical="center" wrapText="1"/>
    </xf>
    <xf numFmtId="166" fontId="36" fillId="10" borderId="128" xfId="5" applyNumberFormat="1" applyFont="1" applyFill="1" applyBorder="1" applyAlignment="1" applyProtection="1">
      <alignment horizontal="center" vertical="center" wrapText="1"/>
    </xf>
    <xf numFmtId="0" fontId="37" fillId="10" borderId="11" xfId="0" applyFont="1" applyFill="1" applyBorder="1" applyAlignment="1">
      <alignment horizontal="left" vertical="center" wrapText="1"/>
    </xf>
    <xf numFmtId="0" fontId="37" fillId="10" borderId="8" xfId="0" applyFont="1" applyFill="1" applyBorder="1" applyAlignment="1">
      <alignment horizontal="left" vertical="center" wrapText="1"/>
    </xf>
    <xf numFmtId="0" fontId="37" fillId="10" borderId="13" xfId="0" applyFont="1" applyFill="1" applyBorder="1" applyAlignment="1">
      <alignment horizontal="left" vertical="center" wrapText="1"/>
    </xf>
    <xf numFmtId="0" fontId="55" fillId="10" borderId="8"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37" fillId="10" borderId="8" xfId="0" applyFont="1" applyFill="1" applyBorder="1" applyAlignment="1">
      <alignment vertical="center" wrapText="1"/>
    </xf>
    <xf numFmtId="166" fontId="37" fillId="10" borderId="4" xfId="5" applyNumberFormat="1" applyFont="1" applyFill="1" applyBorder="1" applyAlignment="1" applyProtection="1">
      <alignment vertical="center" wrapText="1"/>
    </xf>
    <xf numFmtId="166" fontId="37" fillId="10" borderId="4" xfId="5" applyNumberFormat="1" applyFont="1" applyFill="1" applyBorder="1" applyAlignment="1" applyProtection="1">
      <alignment horizontal="center" vertical="center" wrapText="1"/>
    </xf>
    <xf numFmtId="0" fontId="31" fillId="0" borderId="6" xfId="0" applyFont="1" applyBorder="1" applyAlignment="1">
      <alignment vertical="center" wrapText="1"/>
    </xf>
    <xf numFmtId="0" fontId="31" fillId="0" borderId="5" xfId="0" applyFont="1" applyBorder="1" applyAlignment="1">
      <alignment vertical="center" wrapText="1"/>
    </xf>
    <xf numFmtId="0" fontId="27" fillId="10" borderId="0" xfId="0" applyFont="1" applyFill="1" applyAlignment="1">
      <alignment horizontal="left" vertical="center" wrapText="1"/>
    </xf>
    <xf numFmtId="0" fontId="22" fillId="10" borderId="4" xfId="0" applyFont="1" applyFill="1" applyBorder="1" applyAlignment="1">
      <alignment horizontal="justify" vertical="center" wrapText="1"/>
    </xf>
    <xf numFmtId="0" fontId="22" fillId="10" borderId="4" xfId="0" applyFont="1" applyFill="1" applyBorder="1" applyAlignment="1">
      <alignment horizontal="justify" vertical="center"/>
    </xf>
    <xf numFmtId="0" fontId="42" fillId="10" borderId="4" xfId="0" applyFont="1" applyFill="1" applyBorder="1" applyAlignment="1">
      <alignment horizontal="justify" vertical="center"/>
    </xf>
    <xf numFmtId="0" fontId="42" fillId="10" borderId="4" xfId="0" applyFont="1" applyFill="1" applyBorder="1" applyAlignment="1">
      <alignment horizontal="justify" vertical="center" wrapText="1"/>
    </xf>
    <xf numFmtId="0" fontId="22" fillId="14" borderId="4" xfId="0" applyFont="1" applyFill="1" applyBorder="1" applyAlignment="1">
      <alignment horizontal="justify" vertical="center"/>
    </xf>
    <xf numFmtId="0" fontId="25" fillId="8" borderId="2" xfId="0" applyFont="1" applyFill="1" applyBorder="1" applyAlignment="1">
      <alignment vertical="center" wrapText="1"/>
    </xf>
    <xf numFmtId="0" fontId="21" fillId="0" borderId="0" xfId="0" applyFont="1" applyAlignment="1">
      <alignment vertical="center" wrapText="1"/>
    </xf>
    <xf numFmtId="0" fontId="47" fillId="8" borderId="11" xfId="0" applyFont="1" applyFill="1" applyBorder="1" applyAlignment="1">
      <alignment horizontal="left" vertical="center" wrapText="1"/>
    </xf>
    <xf numFmtId="0" fontId="21" fillId="8" borderId="12" xfId="0" applyFont="1" applyFill="1" applyBorder="1" applyAlignment="1">
      <alignment vertical="center" wrapText="1"/>
    </xf>
    <xf numFmtId="0" fontId="14" fillId="8" borderId="12" xfId="0" applyFont="1" applyFill="1" applyBorder="1" applyAlignment="1">
      <alignment horizontal="justify" vertical="center" wrapText="1"/>
    </xf>
    <xf numFmtId="0" fontId="47" fillId="8" borderId="0" xfId="0" applyFont="1" applyFill="1" applyAlignment="1">
      <alignment horizontal="left" vertical="center" wrapText="1"/>
    </xf>
    <xf numFmtId="0" fontId="21" fillId="8" borderId="0" xfId="0" applyFont="1" applyFill="1" applyAlignment="1">
      <alignment vertical="center" wrapText="1"/>
    </xf>
    <xf numFmtId="0" fontId="59" fillId="16" borderId="0" xfId="0" applyFont="1" applyFill="1" applyAlignment="1" applyProtection="1">
      <alignment vertical="top" wrapText="1"/>
      <protection locked="0"/>
    </xf>
    <xf numFmtId="0" fontId="30" fillId="3" borderId="4" xfId="0" applyFont="1" applyFill="1" applyBorder="1" applyAlignment="1" applyProtection="1">
      <alignment horizontal="left" vertical="center" wrapText="1"/>
      <protection locked="0"/>
    </xf>
    <xf numFmtId="0" fontId="16" fillId="8" borderId="0" xfId="0" applyFont="1" applyFill="1" applyAlignment="1">
      <alignment horizontal="center" vertical="center" wrapText="1"/>
    </xf>
    <xf numFmtId="0" fontId="20" fillId="4" borderId="4" xfId="0" applyFont="1" applyFill="1" applyBorder="1" applyAlignment="1">
      <alignment horizontal="center" vertical="center" wrapText="1"/>
    </xf>
    <xf numFmtId="0" fontId="60" fillId="15" borderId="2" xfId="0" applyFont="1" applyFill="1" applyBorder="1" applyAlignment="1" applyProtection="1">
      <alignment horizontal="left" vertical="justify" wrapText="1"/>
      <protection locked="0"/>
    </xf>
    <xf numFmtId="0" fontId="59" fillId="15" borderId="0" xfId="0" applyFont="1" applyFill="1" applyAlignment="1" applyProtection="1">
      <alignment horizontal="left" vertical="justify" wrapText="1"/>
      <protection locked="0"/>
    </xf>
    <xf numFmtId="0" fontId="20" fillId="0" borderId="0" xfId="0" applyFont="1" applyAlignment="1">
      <alignment horizontal="left" vertical="top" wrapText="1"/>
    </xf>
    <xf numFmtId="0" fontId="20" fillId="4" borderId="4" xfId="0" applyFont="1" applyFill="1" applyBorder="1" applyAlignment="1">
      <alignment horizontal="left" vertical="center" wrapText="1"/>
    </xf>
    <xf numFmtId="0" fontId="16" fillId="8" borderId="8"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8" fillId="8" borderId="86" xfId="0" applyFont="1" applyFill="1" applyBorder="1" applyAlignment="1">
      <alignment horizontal="center" vertical="center" wrapText="1"/>
    </xf>
    <xf numFmtId="0" fontId="13" fillId="9" borderId="4" xfId="0" applyFont="1" applyFill="1" applyBorder="1" applyAlignment="1">
      <alignment horizontal="left" vertical="center" wrapText="1"/>
    </xf>
    <xf numFmtId="0" fontId="13" fillId="8" borderId="2" xfId="0" applyFont="1" applyFill="1" applyBorder="1" applyAlignment="1">
      <alignment horizontal="justify" vertical="center" wrapText="1"/>
    </xf>
    <xf numFmtId="0" fontId="13" fillId="8" borderId="0" xfId="0" applyFont="1" applyFill="1" applyAlignment="1">
      <alignment horizontal="justify" vertical="center" wrapText="1"/>
    </xf>
    <xf numFmtId="0" fontId="13" fillId="8" borderId="1" xfId="0" applyFont="1" applyFill="1" applyBorder="1" applyAlignment="1">
      <alignment horizontal="justify" vertical="center" wrapText="1"/>
    </xf>
    <xf numFmtId="0" fontId="13" fillId="8" borderId="11" xfId="0" applyFont="1" applyFill="1" applyBorder="1" applyAlignment="1">
      <alignment horizontal="justify" vertical="center" wrapText="1"/>
    </xf>
    <xf numFmtId="0" fontId="13" fillId="8" borderId="12" xfId="0" applyFont="1" applyFill="1" applyBorder="1" applyAlignment="1">
      <alignment horizontal="justify" vertical="center" wrapText="1"/>
    </xf>
    <xf numFmtId="0" fontId="13" fillId="8" borderId="14" xfId="0" applyFont="1" applyFill="1" applyBorder="1" applyAlignment="1">
      <alignment horizontal="justify" vertical="center" wrapText="1"/>
    </xf>
    <xf numFmtId="0" fontId="13" fillId="8" borderId="13" xfId="0" applyFont="1" applyFill="1" applyBorder="1" applyAlignment="1">
      <alignment horizontal="justify" vertical="center" wrapText="1"/>
    </xf>
    <xf numFmtId="0" fontId="13" fillId="8" borderId="5" xfId="0" applyFont="1" applyFill="1" applyBorder="1" applyAlignment="1">
      <alignment horizontal="justify" vertical="center" wrapText="1"/>
    </xf>
    <xf numFmtId="0" fontId="13" fillId="8" borderId="10" xfId="0" applyFont="1" applyFill="1" applyBorder="1" applyAlignment="1">
      <alignment horizontal="justify" vertical="center" wrapText="1"/>
    </xf>
    <xf numFmtId="0" fontId="14" fillId="0" borderId="0" xfId="0" applyFont="1" applyAlignment="1">
      <alignment horizontal="left" vertical="center" wrapText="1"/>
    </xf>
    <xf numFmtId="0" fontId="4" fillId="0" borderId="0" xfId="0" applyFont="1" applyAlignment="1">
      <alignment horizontal="left" vertical="center" wrapText="1"/>
    </xf>
    <xf numFmtId="0" fontId="15" fillId="2" borderId="17" xfId="0" quotePrefix="1" applyFont="1" applyFill="1" applyBorder="1" applyAlignment="1">
      <alignment horizontal="center" vertical="center" wrapText="1"/>
    </xf>
    <xf numFmtId="0" fontId="15" fillId="2" borderId="18" xfId="0" quotePrefix="1" applyFont="1" applyFill="1" applyBorder="1" applyAlignment="1">
      <alignment horizontal="center" vertical="center" wrapText="1"/>
    </xf>
    <xf numFmtId="0" fontId="0" fillId="5" borderId="4" xfId="0" applyFill="1" applyBorder="1" applyAlignment="1">
      <alignment horizontal="justify" vertical="center" wrapText="1"/>
    </xf>
    <xf numFmtId="0" fontId="16" fillId="8" borderId="87" xfId="0" applyFont="1" applyFill="1" applyBorder="1" applyAlignment="1">
      <alignment horizontal="center" vertical="center" wrapText="1"/>
    </xf>
    <xf numFmtId="0" fontId="16" fillId="8" borderId="88" xfId="0" applyFont="1" applyFill="1" applyBorder="1" applyAlignment="1">
      <alignment horizontal="center" vertical="center" wrapText="1"/>
    </xf>
    <xf numFmtId="0" fontId="0" fillId="5" borderId="10" xfId="0" applyFill="1" applyBorder="1" applyAlignment="1">
      <alignment horizontal="justify" vertical="center" wrapText="1"/>
    </xf>
    <xf numFmtId="0" fontId="0" fillId="5" borderId="1" xfId="0" applyFill="1" applyBorder="1" applyAlignment="1">
      <alignment horizontal="justify" vertical="center" wrapText="1"/>
    </xf>
    <xf numFmtId="0" fontId="5" fillId="8" borderId="0" xfId="0" quotePrefix="1" applyFont="1" applyFill="1" applyAlignment="1">
      <alignment horizontal="center" vertical="center" wrapText="1"/>
    </xf>
    <xf numFmtId="0" fontId="32" fillId="4" borderId="19"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32" fillId="4" borderId="21" xfId="0" applyFont="1" applyFill="1" applyBorder="1" applyAlignment="1">
      <alignment horizontal="center" vertical="center" wrapText="1"/>
    </xf>
    <xf numFmtId="0" fontId="35" fillId="8" borderId="89" xfId="0" applyFont="1" applyFill="1" applyBorder="1" applyAlignment="1">
      <alignment horizontal="center" vertical="center" wrapText="1"/>
    </xf>
    <xf numFmtId="0" fontId="35" fillId="8" borderId="59" xfId="0" applyFont="1" applyFill="1" applyBorder="1" applyAlignment="1">
      <alignment horizontal="center" vertical="center" wrapText="1"/>
    </xf>
    <xf numFmtId="0" fontId="36" fillId="10" borderId="4" xfId="0" applyFont="1" applyFill="1" applyBorder="1" applyAlignment="1">
      <alignment horizontal="justify" vertical="center" wrapText="1"/>
    </xf>
    <xf numFmtId="0" fontId="35" fillId="2" borderId="2" xfId="0" applyFont="1" applyFill="1" applyBorder="1" applyAlignment="1">
      <alignment horizontal="center" vertical="center"/>
    </xf>
    <xf numFmtId="0" fontId="35" fillId="2" borderId="0" xfId="0" applyFont="1" applyFill="1" applyAlignment="1">
      <alignment horizontal="center" vertical="center"/>
    </xf>
    <xf numFmtId="0" fontId="8" fillId="8" borderId="5" xfId="0" applyFont="1" applyFill="1" applyBorder="1" applyAlignment="1">
      <alignment horizontal="left" vertical="center" wrapText="1"/>
    </xf>
    <xf numFmtId="0" fontId="8" fillId="8" borderId="10" xfId="0" applyFont="1" applyFill="1" applyBorder="1" applyAlignment="1">
      <alignment horizontal="left" vertical="center" wrapText="1"/>
    </xf>
    <xf numFmtId="166" fontId="31" fillId="0" borderId="90" xfId="0" applyNumberFormat="1" applyFont="1" applyBorder="1" applyAlignment="1">
      <alignment horizontal="center" vertical="center" wrapText="1"/>
    </xf>
    <xf numFmtId="166" fontId="31" fillId="0" borderId="61" xfId="0" applyNumberFormat="1" applyFont="1" applyBorder="1" applyAlignment="1">
      <alignment horizontal="center" vertical="center" wrapText="1"/>
    </xf>
    <xf numFmtId="166" fontId="31" fillId="0" borderId="91" xfId="0" applyNumberFormat="1" applyFont="1" applyBorder="1" applyAlignment="1">
      <alignment horizontal="center" vertical="center" wrapText="1"/>
    </xf>
    <xf numFmtId="166" fontId="31" fillId="0" borderId="22" xfId="0" applyNumberFormat="1" applyFont="1" applyBorder="1" applyAlignment="1">
      <alignment horizontal="center" vertical="center" wrapText="1"/>
    </xf>
    <xf numFmtId="166" fontId="31" fillId="0" borderId="92" xfId="0" applyNumberFormat="1" applyFont="1" applyBorder="1" applyAlignment="1">
      <alignment horizontal="center" vertical="center" wrapText="1"/>
    </xf>
    <xf numFmtId="0" fontId="35" fillId="8" borderId="93" xfId="0" applyFont="1" applyFill="1" applyBorder="1" applyAlignment="1">
      <alignment horizontal="center" vertical="center"/>
    </xf>
    <xf numFmtId="0" fontId="35" fillId="8" borderId="61" xfId="0" applyFont="1" applyFill="1" applyBorder="1" applyAlignment="1">
      <alignment horizontal="center" vertical="center"/>
    </xf>
    <xf numFmtId="0" fontId="30" fillId="8" borderId="69" xfId="0" applyFont="1" applyFill="1" applyBorder="1" applyAlignment="1">
      <alignment horizontal="center" vertical="center"/>
    </xf>
    <xf numFmtId="0" fontId="30" fillId="8" borderId="2" xfId="0" applyFont="1" applyFill="1" applyBorder="1" applyAlignment="1">
      <alignment horizontal="center" vertical="center"/>
    </xf>
    <xf numFmtId="0" fontId="16" fillId="8" borderId="94" xfId="0" applyFont="1" applyFill="1" applyBorder="1" applyAlignment="1" applyProtection="1">
      <alignment horizontal="center" vertical="center" wrapText="1"/>
      <protection locked="0"/>
    </xf>
    <xf numFmtId="0" fontId="16" fillId="8" borderId="74" xfId="0" applyFont="1" applyFill="1" applyBorder="1" applyAlignment="1" applyProtection="1">
      <alignment horizontal="center" vertical="center" wrapText="1"/>
      <protection locked="0"/>
    </xf>
    <xf numFmtId="0" fontId="8" fillId="8" borderId="108" xfId="0" applyFont="1" applyFill="1" applyBorder="1" applyAlignment="1">
      <alignment horizontal="center" vertical="center"/>
    </xf>
    <xf numFmtId="0" fontId="8" fillId="8" borderId="0" xfId="0" applyFont="1" applyFill="1" applyAlignment="1">
      <alignment horizontal="center" vertical="center"/>
    </xf>
    <xf numFmtId="0" fontId="16" fillId="8" borderId="116" xfId="0" applyFont="1" applyFill="1" applyBorder="1" applyAlignment="1">
      <alignment horizontal="center" vertical="center" textRotation="90"/>
    </xf>
    <xf numFmtId="0" fontId="16" fillId="8" borderId="117" xfId="0" applyFont="1" applyFill="1" applyBorder="1" applyAlignment="1">
      <alignment horizontal="center" vertical="center" textRotation="90"/>
    </xf>
    <xf numFmtId="0" fontId="15"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4" fillId="0" borderId="99" xfId="0" applyFont="1" applyBorder="1" applyAlignment="1">
      <alignment horizontal="justify" vertical="center" wrapText="1"/>
    </xf>
    <xf numFmtId="0" fontId="4" fillId="0" borderId="100" xfId="0" applyFont="1" applyBorder="1" applyAlignment="1">
      <alignment horizontal="justify" vertical="center" wrapText="1"/>
    </xf>
    <xf numFmtId="0" fontId="4" fillId="0" borderId="101" xfId="0" applyFont="1" applyBorder="1" applyAlignment="1">
      <alignment horizontal="justify" vertical="center" wrapText="1"/>
    </xf>
    <xf numFmtId="0" fontId="16" fillId="8" borderId="112" xfId="0" applyFont="1" applyFill="1" applyBorder="1" applyAlignment="1">
      <alignment horizontal="center" vertical="center" wrapText="1"/>
    </xf>
    <xf numFmtId="0" fontId="16" fillId="8" borderId="94" xfId="0" applyFont="1" applyFill="1" applyBorder="1" applyAlignment="1">
      <alignment horizontal="center" vertical="center" wrapText="1"/>
    </xf>
    <xf numFmtId="0" fontId="16" fillId="8" borderId="104" xfId="0" applyFont="1" applyFill="1" applyBorder="1" applyAlignment="1">
      <alignment horizontal="center" vertical="center" wrapText="1"/>
    </xf>
    <xf numFmtId="0" fontId="16" fillId="8" borderId="105" xfId="0" applyFont="1" applyFill="1" applyBorder="1" applyAlignment="1">
      <alignment horizontal="center" vertical="center" wrapText="1"/>
    </xf>
    <xf numFmtId="0" fontId="16" fillId="8" borderId="79" xfId="0" applyFont="1" applyFill="1" applyBorder="1" applyAlignment="1">
      <alignment horizontal="left" vertical="center" wrapText="1"/>
    </xf>
    <xf numFmtId="0" fontId="16" fillId="8" borderId="72" xfId="0" applyFont="1" applyFill="1" applyBorder="1" applyAlignment="1">
      <alignment horizontal="left" vertical="center" wrapText="1"/>
    </xf>
    <xf numFmtId="0" fontId="4" fillId="0" borderId="79" xfId="0" applyFont="1" applyBorder="1" applyAlignment="1">
      <alignment horizontal="center" vertical="center" wrapText="1"/>
    </xf>
    <xf numFmtId="0" fontId="4" fillId="0" borderId="95" xfId="0" applyFont="1" applyBorder="1" applyAlignment="1">
      <alignment horizontal="center" vertical="center" wrapText="1"/>
    </xf>
    <xf numFmtId="0" fontId="16" fillId="8" borderId="107" xfId="0" applyFont="1" applyFill="1" applyBorder="1" applyAlignment="1">
      <alignment horizontal="center" vertical="center" wrapText="1"/>
    </xf>
    <xf numFmtId="0" fontId="16" fillId="8" borderId="106" xfId="0" applyFont="1" applyFill="1" applyBorder="1" applyAlignment="1">
      <alignment horizontal="center" vertical="center" wrapText="1"/>
    </xf>
    <xf numFmtId="0" fontId="16" fillId="8" borderId="113" xfId="0" applyFont="1" applyFill="1" applyBorder="1" applyAlignment="1">
      <alignment horizontal="center" vertical="center" wrapText="1"/>
    </xf>
    <xf numFmtId="0" fontId="16" fillId="8" borderId="114" xfId="0" applyFont="1" applyFill="1" applyBorder="1" applyAlignment="1">
      <alignment horizontal="center" vertical="center" wrapText="1"/>
    </xf>
    <xf numFmtId="0" fontId="16" fillId="8" borderId="83" xfId="0" applyFont="1" applyFill="1" applyBorder="1" applyAlignment="1">
      <alignment horizontal="left" vertical="center" wrapText="1"/>
    </xf>
    <xf numFmtId="0" fontId="16" fillId="8" borderId="96" xfId="0" applyFont="1" applyFill="1" applyBorder="1" applyAlignment="1">
      <alignment horizontal="left" vertical="center" wrapText="1"/>
    </xf>
    <xf numFmtId="0" fontId="35" fillId="8" borderId="132" xfId="0" applyFont="1" applyFill="1" applyBorder="1" applyAlignment="1">
      <alignment horizontal="center" vertical="center" textRotation="90"/>
    </xf>
    <xf numFmtId="0" fontId="35" fillId="8" borderId="122" xfId="0" applyFont="1" applyFill="1" applyBorder="1" applyAlignment="1">
      <alignment horizontal="center" vertical="center" textRotation="90"/>
    </xf>
    <xf numFmtId="0" fontId="35" fillId="8" borderId="124" xfId="0" applyFont="1" applyFill="1" applyBorder="1" applyAlignment="1">
      <alignment horizontal="center" vertical="center" textRotation="90"/>
    </xf>
    <xf numFmtId="0" fontId="49" fillId="8" borderId="108" xfId="0" applyFont="1" applyFill="1" applyBorder="1" applyAlignment="1">
      <alignment horizontal="center" vertical="center"/>
    </xf>
    <xf numFmtId="0" fontId="49" fillId="8" borderId="0" xfId="0" applyFont="1" applyFill="1" applyAlignment="1">
      <alignment horizontal="center" vertical="center"/>
    </xf>
    <xf numFmtId="0" fontId="49" fillId="8" borderId="118" xfId="0" applyFont="1" applyFill="1" applyBorder="1" applyAlignment="1">
      <alignment horizontal="center" vertical="center"/>
    </xf>
    <xf numFmtId="0" fontId="32" fillId="0" borderId="119" xfId="0" applyFont="1" applyBorder="1" applyAlignment="1">
      <alignment horizontal="center" vertical="center" wrapText="1"/>
    </xf>
    <xf numFmtId="0" fontId="32" fillId="0" borderId="120" xfId="0" applyFont="1" applyBorder="1" applyAlignment="1">
      <alignment horizontal="center" vertical="center" wrapText="1"/>
    </xf>
    <xf numFmtId="0" fontId="37" fillId="0" borderId="10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21" xfId="0" applyFont="1" applyBorder="1" applyAlignment="1">
      <alignment horizontal="center" vertical="center" wrapText="1"/>
    </xf>
    <xf numFmtId="0" fontId="35" fillId="8" borderId="4" xfId="0" applyFont="1" applyFill="1" applyBorder="1" applyAlignment="1">
      <alignment horizontal="left" vertical="center" wrapText="1"/>
    </xf>
    <xf numFmtId="0" fontId="35" fillId="8" borderId="125" xfId="0" applyFont="1" applyFill="1" applyBorder="1" applyAlignment="1">
      <alignment horizontal="left" vertical="center" wrapText="1"/>
    </xf>
    <xf numFmtId="0" fontId="35" fillId="8" borderId="4" xfId="0" applyFont="1" applyFill="1" applyBorder="1" applyAlignment="1">
      <alignment horizontal="center" vertical="center" wrapText="1"/>
    </xf>
    <xf numFmtId="166" fontId="37" fillId="0" borderId="0" xfId="0" applyNumberFormat="1" applyFont="1" applyAlignment="1">
      <alignment horizontal="center" vertical="center" wrapText="1"/>
    </xf>
    <xf numFmtId="0" fontId="33" fillId="0" borderId="0" xfId="0" applyFont="1" applyAlignment="1">
      <alignment horizontal="center" vertical="center"/>
    </xf>
    <xf numFmtId="0" fontId="35" fillId="8" borderId="20" xfId="0" applyFont="1" applyFill="1" applyBorder="1" applyAlignment="1">
      <alignment horizontal="center" vertical="center" wrapText="1"/>
    </xf>
    <xf numFmtId="0" fontId="35" fillId="8" borderId="125" xfId="0" applyFont="1" applyFill="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35" fillId="8" borderId="21" xfId="0" applyFont="1" applyFill="1" applyBorder="1" applyAlignment="1">
      <alignment horizontal="center" vertical="center" wrapText="1"/>
    </xf>
    <xf numFmtId="0" fontId="35" fillId="8" borderId="19" xfId="0" applyFont="1" applyFill="1" applyBorder="1" applyAlignment="1">
      <alignment horizontal="center" vertical="center" wrapText="1"/>
    </xf>
    <xf numFmtId="0" fontId="35" fillId="8" borderId="124" xfId="0" applyFont="1" applyFill="1" applyBorder="1" applyAlignment="1">
      <alignment horizontal="center" vertical="center" wrapText="1"/>
    </xf>
    <xf numFmtId="0" fontId="35" fillId="8" borderId="18" xfId="0" applyFont="1" applyFill="1" applyBorder="1" applyAlignment="1">
      <alignment horizontal="center" vertical="center" wrapText="1"/>
    </xf>
    <xf numFmtId="0" fontId="35" fillId="8" borderId="18" xfId="0" applyFont="1" applyFill="1" applyBorder="1" applyAlignment="1">
      <alignment horizontal="left" vertical="center" wrapText="1"/>
    </xf>
    <xf numFmtId="0" fontId="35" fillId="8" borderId="130" xfId="0" applyFont="1" applyFill="1" applyBorder="1" applyAlignment="1">
      <alignment horizontal="center" vertical="center" wrapText="1"/>
    </xf>
    <xf numFmtId="0" fontId="37" fillId="10" borderId="4" xfId="0" applyFont="1" applyFill="1" applyBorder="1" applyAlignment="1">
      <alignment horizontal="center" vertical="center" textRotation="255"/>
    </xf>
    <xf numFmtId="0" fontId="55" fillId="10" borderId="11" xfId="0" applyFont="1" applyFill="1" applyBorder="1" applyAlignment="1">
      <alignment horizontal="left" vertical="center" wrapText="1"/>
    </xf>
    <xf numFmtId="0" fontId="55" fillId="10" borderId="12" xfId="0" applyFont="1" applyFill="1" applyBorder="1" applyAlignment="1">
      <alignment horizontal="left" vertical="center" wrapText="1"/>
    </xf>
    <xf numFmtId="0" fontId="8" fillId="8" borderId="0" xfId="0" applyFont="1" applyFill="1" applyAlignment="1">
      <alignment horizontal="center" vertical="center" wrapText="1"/>
    </xf>
    <xf numFmtId="0" fontId="9" fillId="7" borderId="8" xfId="0" applyFont="1" applyFill="1" applyBorder="1" applyAlignment="1">
      <alignment horizontal="left" vertical="center" wrapText="1"/>
    </xf>
    <xf numFmtId="0" fontId="9" fillId="7" borderId="7" xfId="0" applyFont="1" applyFill="1" applyBorder="1" applyAlignment="1">
      <alignment horizontal="left" vertical="center" wrapText="1"/>
    </xf>
    <xf numFmtId="0" fontId="8" fillId="8" borderId="72" xfId="0" applyFont="1" applyFill="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53" fillId="0" borderId="96" xfId="0" applyFont="1" applyBorder="1" applyAlignment="1">
      <alignment horizontal="justify" vertical="center" wrapText="1"/>
    </xf>
    <xf numFmtId="0" fontId="53" fillId="0" borderId="99" xfId="0" applyFont="1" applyBorder="1" applyAlignment="1">
      <alignment horizontal="justify" vertical="center" wrapText="1"/>
    </xf>
    <xf numFmtId="0" fontId="9" fillId="8" borderId="15"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9" fillId="8" borderId="98" xfId="0" applyFont="1" applyFill="1" applyBorder="1" applyAlignment="1">
      <alignment horizontal="center" vertical="center" wrapText="1"/>
    </xf>
    <xf numFmtId="0" fontId="9" fillId="8" borderId="102" xfId="0" applyFont="1" applyFill="1" applyBorder="1" applyAlignment="1">
      <alignment horizontal="center" vertical="center" wrapText="1"/>
    </xf>
    <xf numFmtId="0" fontId="9" fillId="8" borderId="103" xfId="0" applyFont="1" applyFill="1" applyBorder="1" applyAlignment="1">
      <alignment horizontal="center" vertical="center" wrapText="1"/>
    </xf>
    <xf numFmtId="0" fontId="9" fillId="8" borderId="81" xfId="0" applyFont="1" applyFill="1" applyBorder="1" applyAlignment="1">
      <alignment horizontal="center" vertical="center" wrapText="1"/>
    </xf>
    <xf numFmtId="0" fontId="9" fillId="8" borderId="82" xfId="0" applyFont="1" applyFill="1" applyBorder="1" applyAlignment="1">
      <alignment horizontal="center" vertical="center" wrapText="1"/>
    </xf>
    <xf numFmtId="0" fontId="9" fillId="8" borderId="97" xfId="0" applyFont="1" applyFill="1" applyBorder="1" applyAlignment="1">
      <alignment horizontal="center" vertical="center" wrapText="1"/>
    </xf>
    <xf numFmtId="0" fontId="9" fillId="8" borderId="7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96" xfId="0" applyFont="1" applyFill="1" applyBorder="1" applyAlignment="1">
      <alignment horizontal="left" vertical="center" wrapText="1"/>
    </xf>
    <xf numFmtId="166" fontId="10" fillId="0" borderId="0" xfId="0" applyNumberFormat="1" applyFont="1" applyAlignment="1">
      <alignment horizontal="center" vertical="center" wrapText="1"/>
    </xf>
    <xf numFmtId="0" fontId="10" fillId="0" borderId="79" xfId="0" applyFont="1" applyBorder="1" applyAlignment="1">
      <alignment horizontal="center" vertical="center" wrapText="1"/>
    </xf>
    <xf numFmtId="0" fontId="10" fillId="0" borderId="95" xfId="0" applyFont="1" applyBorder="1" applyAlignment="1">
      <alignment horizontal="center" vertical="center" wrapText="1"/>
    </xf>
    <xf numFmtId="0" fontId="9" fillId="8" borderId="77" xfId="0" applyFont="1" applyFill="1" applyBorder="1" applyAlignment="1">
      <alignment horizontal="center" vertical="center" wrapText="1"/>
    </xf>
    <xf numFmtId="0" fontId="9" fillId="8" borderId="70" xfId="0" applyFont="1" applyFill="1" applyBorder="1" applyAlignment="1">
      <alignment horizontal="center" vertical="center" wrapText="1"/>
    </xf>
    <xf numFmtId="0" fontId="9" fillId="8" borderId="104" xfId="0" applyFont="1" applyFill="1" applyBorder="1" applyAlignment="1">
      <alignment horizontal="center" vertical="center" wrapText="1"/>
    </xf>
    <xf numFmtId="0" fontId="9" fillId="8" borderId="105" xfId="0" applyFont="1" applyFill="1" applyBorder="1" applyAlignment="1">
      <alignment horizontal="center" vertical="center" wrapText="1"/>
    </xf>
    <xf numFmtId="0" fontId="9" fillId="8" borderId="79" xfId="0" applyFont="1" applyFill="1" applyBorder="1" applyAlignment="1">
      <alignment horizontal="left" vertical="center" wrapText="1"/>
    </xf>
    <xf numFmtId="0" fontId="9" fillId="7" borderId="4"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2" fillId="13" borderId="4" xfId="0" applyFont="1" applyFill="1" applyBorder="1" applyAlignment="1">
      <alignment horizontal="center" vertical="center"/>
    </xf>
    <xf numFmtId="0" fontId="12" fillId="13" borderId="8" xfId="0" applyFont="1" applyFill="1" applyBorder="1" applyAlignment="1">
      <alignment horizontal="center" vertical="center"/>
    </xf>
    <xf numFmtId="0" fontId="12" fillId="13" borderId="7" xfId="0" applyFont="1" applyFill="1" applyBorder="1" applyAlignment="1">
      <alignment horizontal="center" vertical="center"/>
    </xf>
  </cellXfs>
  <cellStyles count="9">
    <cellStyle name="Estilo 1" xfId="1" xr:uid="{00000000-0005-0000-0000-000000000000}"/>
    <cellStyle name="Millares" xfId="2" builtinId="3"/>
    <cellStyle name="Millares [0]" xfId="3" builtinId="6"/>
    <cellStyle name="Millares 2" xfId="4" xr:uid="{00000000-0005-0000-0000-000003000000}"/>
    <cellStyle name="Moneda" xfId="5" builtinId="4"/>
    <cellStyle name="Moneda [0]" xfId="6" builtinId="7"/>
    <cellStyle name="Moneda 2" xfId="7" xr:uid="{00000000-0005-0000-0000-000006000000}"/>
    <cellStyle name="Normal" xfId="0" builtinId="0"/>
    <cellStyle name="Porcentaje" xfId="8" builtinId="5"/>
  </cellStyles>
  <dxfs count="95">
    <dxf>
      <font>
        <b/>
        <i val="0"/>
        <color auto="1"/>
        <name val="Cambria"/>
        <scheme val="none"/>
      </font>
      <fill>
        <patternFill>
          <bgColor theme="0" tint="-0.14996795556505021"/>
        </patternFill>
      </fill>
    </dxf>
    <dxf>
      <font>
        <color rgb="FFFFFF00"/>
      </font>
      <fill>
        <patternFill>
          <fgColor rgb="FFFF0000"/>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rgb="FFFF0000"/>
        </patternFill>
      </fill>
    </dxf>
    <dxf>
      <font>
        <b/>
        <i val="0"/>
        <color auto="1"/>
        <name val="Cambria"/>
        <scheme val="none"/>
      </font>
      <fill>
        <patternFill patternType="solid">
          <fgColor indexed="64"/>
          <bgColor rgb="FFFF0000"/>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name val="Cambria"/>
        <scheme val="none"/>
      </font>
      <fill>
        <patternFill patternType="solid">
          <fgColor indexed="64"/>
          <bgColor rgb="FFFF0000"/>
        </patternFill>
      </fill>
      <border>
        <left style="thin">
          <color indexed="64"/>
        </left>
        <right style="thin">
          <color indexed="64"/>
        </right>
        <top style="thin">
          <color indexed="64"/>
        </top>
        <bottom style="thin">
          <color indexed="64"/>
        </bottom>
      </border>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color rgb="FFFFFF00"/>
      </font>
      <fill>
        <patternFill>
          <bgColor rgb="FFFF0000"/>
        </patternFill>
      </fill>
    </dxf>
    <dxf>
      <font>
        <color rgb="FFFFFF00"/>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theme="0" tint="-0.14996795556505021"/>
        </patternFill>
      </fill>
    </dxf>
    <dxf>
      <font>
        <color rgb="FFFFFF00"/>
      </font>
      <fill>
        <patternFill>
          <fgColor rgb="FFFF0000"/>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92D050"/>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name val="Cambria"/>
        <scheme val="none"/>
      </font>
      <fill>
        <patternFill patternType="solid">
          <fgColor indexed="64"/>
          <bgColor rgb="FFFF0000"/>
        </patternFill>
      </fill>
      <border>
        <left style="thin">
          <color indexed="64"/>
        </left>
        <right style="thin">
          <color indexed="64"/>
        </right>
        <top style="thin">
          <color indexed="64"/>
        </top>
        <bottom style="thin">
          <color indexed="64"/>
        </bottom>
      </border>
    </dxf>
    <dxf>
      <font>
        <b/>
        <i val="0"/>
        <color auto="1"/>
        <name val="Cambria"/>
        <scheme val="none"/>
      </font>
      <fill>
        <patternFill>
          <bgColor rgb="FFFF0000"/>
        </patternFill>
      </fill>
    </dxf>
    <dxf>
      <font>
        <color rgb="FFFFFF00"/>
      </font>
      <fill>
        <patternFill>
          <bgColor rgb="FFFF0000"/>
        </patternFill>
      </fill>
    </dxf>
    <dxf>
      <font>
        <color rgb="FFFFFF00"/>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font>
      <fill>
        <patternFill>
          <bgColor rgb="FFFF0000"/>
        </patternFill>
      </fill>
    </dxf>
    <dxf>
      <font>
        <b/>
        <i val="0"/>
        <color auto="1"/>
        <name val="Cambria"/>
        <scheme val="none"/>
      </font>
      <fill>
        <patternFill>
          <bgColor theme="0" tint="-0.14996795556505021"/>
        </patternFill>
      </fill>
    </dxf>
    <dxf>
      <font>
        <color rgb="FFFFFF00"/>
      </font>
      <fill>
        <patternFill>
          <fgColor rgb="FFFF0000"/>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font>
      <fill>
        <patternFill>
          <bgColor rgb="FFFF2D2D"/>
        </patternFill>
      </fill>
    </dxf>
    <dxf>
      <font>
        <b/>
        <i val="0"/>
        <color auto="1"/>
      </font>
      <fill>
        <patternFill>
          <bgColor rgb="FFFF2D2D"/>
        </patternFill>
      </fill>
    </dxf>
    <dxf>
      <font>
        <b/>
        <i val="0"/>
        <color auto="1"/>
      </font>
      <fill>
        <patternFill>
          <bgColor rgb="FFFF2D2D"/>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rgb="FF9C0006"/>
      </font>
      <fill>
        <patternFill>
          <bgColor rgb="FFFFC7CE"/>
        </patternFill>
      </fill>
    </dxf>
    <dxf>
      <font>
        <color rgb="FF9C0006"/>
      </font>
      <fill>
        <patternFill>
          <bgColor rgb="FFFFC7CE"/>
        </patternFill>
      </fill>
    </dxf>
    <dxf>
      <font>
        <b/>
        <i val="0"/>
        <color auto="1"/>
      </font>
      <fill>
        <patternFill>
          <bgColor rgb="FFFF0000"/>
        </patternFill>
      </fill>
    </dxf>
    <dxf>
      <font>
        <b/>
        <i val="0"/>
        <color auto="1"/>
      </font>
      <fill>
        <patternFill>
          <bgColor rgb="FF92D050"/>
        </patternFill>
      </fill>
    </dxf>
    <dxf>
      <font>
        <color rgb="FFC00000"/>
      </font>
      <fill>
        <patternFill patternType="solid">
          <bgColor theme="4" tint="0.79998168889431442"/>
        </patternFill>
      </fill>
    </dxf>
    <dxf>
      <font>
        <b/>
        <i val="0"/>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FF0000"/>
        </patternFill>
      </fill>
    </dxf>
    <dxf>
      <font>
        <b/>
        <i val="0"/>
        <color auto="1"/>
      </font>
      <fill>
        <patternFill>
          <bgColor rgb="FFFF0000"/>
        </patternFill>
      </fill>
    </dxf>
    <dxf>
      <font>
        <b/>
        <i val="0"/>
        <color auto="1"/>
      </font>
      <fill>
        <patternFill>
          <bgColor rgb="FF92D050"/>
        </patternFill>
      </fill>
    </dxf>
    <dxf>
      <fill>
        <patternFill>
          <bgColor rgb="FF92D050"/>
        </patternFill>
      </fill>
    </dxf>
    <dxf>
      <fill>
        <patternFill>
          <bgColor rgb="FFFFFF00"/>
        </patternFill>
      </fill>
      <border>
        <left style="thin">
          <color indexed="64"/>
        </left>
        <right style="thin">
          <color indexed="64"/>
        </right>
        <top style="thin">
          <color indexed="64"/>
        </top>
        <bottom style="thin">
          <color indexed="64"/>
        </bottom>
      </border>
    </dxf>
    <dxf>
      <font>
        <color theme="0"/>
      </font>
      <fill>
        <patternFill>
          <bgColor theme="0"/>
        </patternFill>
      </fill>
    </dxf>
    <dxf>
      <font>
        <b/>
        <i val="0"/>
        <color auto="1"/>
      </font>
      <fill>
        <patternFill>
          <bgColor rgb="FF92D050"/>
        </patternFill>
      </fill>
    </dxf>
    <dxf>
      <font>
        <b/>
        <i val="0"/>
        <color auto="1"/>
      </font>
      <fill>
        <patternFill>
          <bgColor rgb="FFFF0000"/>
        </patternFill>
      </fill>
    </dxf>
    <dxf>
      <font>
        <b/>
        <i val="0"/>
        <color auto="1"/>
      </font>
      <fill>
        <patternFill>
          <bgColor rgb="FF92D050"/>
        </patternFill>
      </fill>
    </dxf>
    <dxf>
      <font>
        <b/>
        <i val="0"/>
        <color auto="1"/>
      </font>
      <fill>
        <patternFill>
          <bgColor rgb="FFFF0000"/>
        </patternFill>
      </fill>
    </dxf>
    <dxf>
      <font>
        <b/>
        <i val="0"/>
        <color auto="1"/>
      </font>
      <fill>
        <patternFill>
          <bgColor rgb="FFFFC000"/>
        </patternFill>
      </fill>
    </dxf>
    <dxf>
      <font>
        <b/>
        <i val="0"/>
        <color auto="1"/>
      </font>
      <fill>
        <patternFill>
          <bgColor rgb="FFFF0000"/>
        </patternFill>
      </fill>
    </dxf>
    <dxf>
      <font>
        <b/>
        <i val="0"/>
        <color auto="1"/>
      </font>
      <fill>
        <patternFill>
          <bgColor rgb="FF92D050"/>
        </patternFill>
      </fill>
    </dxf>
    <dxf>
      <font>
        <color theme="4" tint="0.79998168889431442"/>
      </font>
      <fill>
        <patternFill>
          <bgColor theme="4" tint="0.79998168889431442"/>
        </patternFill>
      </fill>
      <border>
        <left style="thin">
          <color indexed="64"/>
        </left>
        <right style="thin">
          <color indexed="64"/>
        </right>
        <top style="thin">
          <color indexed="64"/>
        </top>
        <bottom style="thin">
          <color indexed="64"/>
        </bottom>
      </border>
    </dxf>
    <dxf>
      <font>
        <color theme="0"/>
      </font>
    </dxf>
    <dxf>
      <font>
        <color theme="0"/>
      </font>
      <fill>
        <patternFill>
          <bgColor theme="3" tint="-0.24994659260841701"/>
        </patternFill>
      </fill>
    </dxf>
    <dxf>
      <font>
        <color theme="3" tint="-0.24994659260841701"/>
      </font>
      <fill>
        <patternFill>
          <bgColor theme="3" tint="-0.24994659260841701"/>
        </patternFill>
      </fill>
    </dxf>
    <dxf>
      <font>
        <color theme="4" tint="-0.499984740745262"/>
      </font>
      <fill>
        <patternFill>
          <bgColor theme="3" tint="-0.24994659260841701"/>
        </patternFill>
      </fill>
    </dxf>
    <dxf>
      <font>
        <color auto="1"/>
      </font>
      <fill>
        <patternFill>
          <bgColor theme="4" tint="0.79998168889431442"/>
        </patternFill>
      </fill>
      <border>
        <left style="thin">
          <color indexed="64"/>
        </left>
        <right style="thin">
          <color indexed="64"/>
        </right>
        <top style="thin">
          <color indexed="64"/>
        </top>
        <bottom style="thin">
          <color indexed="64"/>
        </bottom>
      </border>
    </dxf>
    <dxf>
      <font>
        <color theme="0"/>
      </font>
      <fill>
        <patternFill>
          <bgColor theme="0"/>
        </patternFill>
      </fill>
      <border>
        <left style="thin">
          <color theme="3" tint="-0.24994659260841701"/>
        </left>
        <right style="thin">
          <color theme="3" tint="-0.24994659260841701"/>
        </right>
        <top style="thin">
          <color theme="3" tint="-0.24994659260841701"/>
        </top>
        <bottom style="thin">
          <color theme="3" tint="-0.24994659260841701"/>
        </bottom>
      </border>
    </dxf>
    <dxf>
      <font>
        <color theme="0"/>
      </font>
    </dxf>
    <dxf>
      <font>
        <b val="0"/>
        <i val="0"/>
        <color theme="0"/>
      </font>
    </dxf>
    <dxf>
      <font>
        <color auto="1"/>
      </font>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border>
    </dxf>
  </dxfs>
  <tableStyles count="0" defaultTableStyle="TableStyleMedium2" defaultPivotStyle="PivotStyleLight16"/>
  <colors>
    <mruColors>
      <color rgb="FFFF2D2D"/>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5663987</xdr:colOff>
      <xdr:row>6</xdr:row>
      <xdr:rowOff>79401</xdr:rowOff>
    </xdr:from>
    <xdr:to>
      <xdr:col>1</xdr:col>
      <xdr:colOff>6347624</xdr:colOff>
      <xdr:row>6</xdr:row>
      <xdr:rowOff>241827</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5768530" y="3076291"/>
          <a:ext cx="683637" cy="162426"/>
        </a:xfrm>
        <a:prstGeom prst="rect">
          <a:avLst/>
        </a:prstGeom>
        <a:solidFill>
          <a:schemeClr val="tx2">
            <a:lumMod val="20000"/>
            <a:lumOff val="80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s-CL"/>
        </a:p>
      </xdr:txBody>
    </xdr:sp>
    <xdr:clientData/>
  </xdr:twoCellAnchor>
  <xdr:twoCellAnchor>
    <xdr:from>
      <xdr:col>1</xdr:col>
      <xdr:colOff>5641898</xdr:colOff>
      <xdr:row>6</xdr:row>
      <xdr:rowOff>42333</xdr:rowOff>
    </xdr:from>
    <xdr:to>
      <xdr:col>1</xdr:col>
      <xdr:colOff>6391080</xdr:colOff>
      <xdr:row>7</xdr:row>
      <xdr:rowOff>76200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5746441" y="3039223"/>
          <a:ext cx="749182" cy="34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42386</xdr:colOff>
      <xdr:row>8</xdr:row>
      <xdr:rowOff>85726</xdr:rowOff>
    </xdr:from>
    <xdr:to>
      <xdr:col>9</xdr:col>
      <xdr:colOff>762954</xdr:colOff>
      <xdr:row>10</xdr:row>
      <xdr:rowOff>38100</xdr:rowOff>
    </xdr:to>
    <xdr:sp macro="" textlink="">
      <xdr:nvSpPr>
        <xdr:cNvPr id="2" name="1 Flecha izquierda">
          <a:extLst>
            <a:ext uri="{FF2B5EF4-FFF2-40B4-BE49-F238E27FC236}">
              <a16:creationId xmlns:a16="http://schemas.microsoft.com/office/drawing/2014/main" id="{00000000-0008-0000-0200-000002000000}"/>
            </a:ext>
          </a:extLst>
        </xdr:cNvPr>
        <xdr:cNvSpPr/>
      </xdr:nvSpPr>
      <xdr:spPr>
        <a:xfrm>
          <a:off x="12977336" y="542926"/>
          <a:ext cx="720568" cy="1019174"/>
        </a:xfrm>
        <a:prstGeom prst="leftArrow">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L"/>
        </a:p>
      </xdr:txBody>
    </xdr:sp>
    <xdr:clientData/>
  </xdr:twoCellAnchor>
  <xdr:twoCellAnchor>
    <xdr:from>
      <xdr:col>9</xdr:col>
      <xdr:colOff>42862</xdr:colOff>
      <xdr:row>18</xdr:row>
      <xdr:rowOff>0</xdr:rowOff>
    </xdr:from>
    <xdr:to>
      <xdr:col>9</xdr:col>
      <xdr:colOff>754447</xdr:colOff>
      <xdr:row>20</xdr:row>
      <xdr:rowOff>0</xdr:rowOff>
    </xdr:to>
    <xdr:sp macro="" textlink="">
      <xdr:nvSpPr>
        <xdr:cNvPr id="5" name="1 Flecha izquierda">
          <a:extLst>
            <a:ext uri="{FF2B5EF4-FFF2-40B4-BE49-F238E27FC236}">
              <a16:creationId xmlns:a16="http://schemas.microsoft.com/office/drawing/2014/main" id="{00000000-0008-0000-0200-000005000000}"/>
            </a:ext>
          </a:extLst>
        </xdr:cNvPr>
        <xdr:cNvSpPr/>
      </xdr:nvSpPr>
      <xdr:spPr>
        <a:xfrm>
          <a:off x="11863387" y="2744628"/>
          <a:ext cx="708010" cy="712947"/>
        </a:xfrm>
        <a:prstGeom prst="leftArrow">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L"/>
        </a:p>
      </xdr:txBody>
    </xdr:sp>
    <xdr:clientData/>
  </xdr:twoCellAnchor>
  <xdr:twoCellAnchor>
    <xdr:from>
      <xdr:col>9</xdr:col>
      <xdr:colOff>80487</xdr:colOff>
      <xdr:row>24</xdr:row>
      <xdr:rowOff>0</xdr:rowOff>
    </xdr:from>
    <xdr:to>
      <xdr:col>9</xdr:col>
      <xdr:colOff>824734</xdr:colOff>
      <xdr:row>25</xdr:row>
      <xdr:rowOff>57150</xdr:rowOff>
    </xdr:to>
    <xdr:sp macro="" textlink="">
      <xdr:nvSpPr>
        <xdr:cNvPr id="6" name="1 Flecha izquierda">
          <a:extLst>
            <a:ext uri="{FF2B5EF4-FFF2-40B4-BE49-F238E27FC236}">
              <a16:creationId xmlns:a16="http://schemas.microsoft.com/office/drawing/2014/main" id="{00000000-0008-0000-0200-000006000000}"/>
            </a:ext>
          </a:extLst>
        </xdr:cNvPr>
        <xdr:cNvSpPr/>
      </xdr:nvSpPr>
      <xdr:spPr>
        <a:xfrm>
          <a:off x="13015437" y="4943475"/>
          <a:ext cx="744247" cy="876300"/>
        </a:xfrm>
        <a:prstGeom prst="leftArrow">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L"/>
        </a:p>
      </xdr:txBody>
    </xdr:sp>
    <xdr:clientData/>
  </xdr:twoCellAnchor>
</xdr:wsDr>
</file>

<file path=xl/persons/person.xml><?xml version="1.0" encoding="utf-8"?>
<personList xmlns="http://schemas.microsoft.com/office/spreadsheetml/2018/threadedcomments" xmlns:x="http://schemas.openxmlformats.org/spreadsheetml/2006/main">
  <person displayName="Roxany Barahona Ligueno" id="{0E565CD3-EF5C-43B9-AE1B-86B93D14D275}" userId="S::rbarahona@anid.cl::cc50f002-2f9b-4816-8a39-ce483614177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dk1"/>
        </a:lnRef>
        <a:fillRef idx="0">
          <a:schemeClr val="dk1"/>
        </a:fillRef>
        <a:effectRef idx="0">
          <a:schemeClr val="dk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 dT="2025-01-28T13:12:04.69" personId="{0E565CD3-EF5C-43B9-AE1B-86B93D14D275}" id="{FFB68F36-F801-4D62-A82B-9C0B1F300FD0}">
    <text>Monto ingresado en Hoja DETALLE APORTES.-</text>
  </threadedComment>
  <threadedComment ref="F8" dT="2025-01-28T13:12:04.69" personId="{0E565CD3-EF5C-43B9-AE1B-86B93D14D275}" id="{CFDC694D-FA57-41CD-AA91-C158D61D1085}">
    <text>Monto ingresado en Hoja DETALLE APORTES.-</text>
  </threadedComment>
  <threadedComment ref="F9" dT="2025-01-28T13:12:04.69" personId="{0E565CD3-EF5C-43B9-AE1B-86B93D14D275}" id="{DA2FA778-9F02-478B-9398-9F5AF62309E9}">
    <text>Monto ingresado en Hoja DETALLE APORTES.-</text>
  </threadedComment>
  <threadedComment ref="F10" dT="2025-01-28T13:12:04.69" personId="{0E565CD3-EF5C-43B9-AE1B-86B93D14D275}" id="{9F9A4B31-DF57-43F2-9A9F-55A776BFBC64}">
    <text>Monto ingresado en Hoja DETALLE APORTES.-</text>
  </threadedComment>
  <threadedComment ref="G10" dT="2025-01-28T13:12:04.69" personId="{0E565CD3-EF5C-43B9-AE1B-86B93D14D275}" id="{7A06E5D3-48F6-446D-A1B4-7DE04DC08036}">
    <text>Monto ingresado en Hoja DETALLE APORTES.-</text>
  </threadedComment>
  <threadedComment ref="F11" dT="2025-01-28T13:12:04.69" personId="{0E565CD3-EF5C-43B9-AE1B-86B93D14D275}" id="{9483710B-9EE6-41CE-9717-E36BA4C884F8}">
    <text>Monto ingresado en Hoja DETALLE APORTES.-</text>
  </threadedComment>
  <threadedComment ref="G11" dT="2025-01-28T13:12:04.69" personId="{0E565CD3-EF5C-43B9-AE1B-86B93D14D275}" id="{1E335CB1-C5DF-404D-8E85-A58A1F765AB5}">
    <text>Monto ingresado en Hoja DETALLE APORTES.-</text>
  </threadedComment>
  <threadedComment ref="F12" dT="2025-01-28T13:12:04.69" personId="{0E565CD3-EF5C-43B9-AE1B-86B93D14D275}" id="{AD5171CA-A9F3-421A-AF7D-7E3829B178DB}">
    <text>Monto ingresado en Hoja DETALLE APORTES.-</text>
  </threadedComment>
  <threadedComment ref="G12" dT="2025-01-28T13:12:04.69" personId="{0E565CD3-EF5C-43B9-AE1B-86B93D14D275}" id="{4BC0FAC7-1A11-47F4-86E4-C85204E60A11}">
    <text>Monto ingresado en Hoja DETALLE APORTES.-</text>
  </threadedComment>
  <threadedComment ref="F14" dT="2025-01-28T13:12:04.69" personId="{0E565CD3-EF5C-43B9-AE1B-86B93D14D275}" id="{96ECC16E-219F-49E8-9894-BEBA0192A11B}">
    <text>Monto ingresado en Hoja DETALLE APORTES.-</text>
  </threadedComment>
  <threadedComment ref="G14" dT="2025-01-28T13:12:04.69" personId="{0E565CD3-EF5C-43B9-AE1B-86B93D14D275}" id="{4A8BB480-A2EE-4798-8664-5FE64E4CDEA7}">
    <text>Monto ingresado en Hoja DETALLE APORTES.-</text>
  </threadedComment>
  <threadedComment ref="F15" dT="2025-01-28T13:12:04.69" personId="{0E565CD3-EF5C-43B9-AE1B-86B93D14D275}" id="{C0951B4A-D909-443B-8AE2-D6C3E9AB7233}">
    <text>Monto ingresado en Hoja DETALLE APORTES.-</text>
  </threadedComment>
  <threadedComment ref="G15" dT="2025-01-28T13:12:04.69" personId="{0E565CD3-EF5C-43B9-AE1B-86B93D14D275}" id="{DBBCB07C-8BDA-467D-8523-CC3F49F04FAA}">
    <text>Monto ingresado en Hoja DETALLE APORTES.-</text>
  </threadedComment>
  <threadedComment ref="F16" dT="2025-01-28T13:12:04.69" personId="{0E565CD3-EF5C-43B9-AE1B-86B93D14D275}" id="{AB265B10-A067-4AA5-94D6-599E2CB554DC}">
    <text>Monto ingresado en Hoja DETALLE APORTES.-</text>
  </threadedComment>
  <threadedComment ref="G16" dT="2025-01-28T13:12:04.69" personId="{0E565CD3-EF5C-43B9-AE1B-86B93D14D275}" id="{0A8C0AC1-0DD2-4B6E-9C5C-42CB64BD6667}">
    <text>Monto ingresado en Hoja DETALLE APORTES.-</text>
  </threadedComment>
</ThreadedComments>
</file>

<file path=xl/threadedComments/threadedComment2.xml><?xml version="1.0" encoding="utf-8"?>
<ThreadedComments xmlns="http://schemas.microsoft.com/office/spreadsheetml/2018/threadedcomments" xmlns:x="http://schemas.openxmlformats.org/spreadsheetml/2006/main">
  <threadedComment ref="G7" dT="2025-01-28T13:03:47.19" personId="{0E565CD3-EF5C-43B9-AE1B-86B93D14D275}" id="{7EDE5B45-7AC8-47F5-8264-9120E8EC5946}">
    <text>Puede modificar el monto en caso de que este aporte esté distribuido en distintas instituciones.-</text>
  </threadedComment>
  <threadedComment ref="G8" dT="2025-01-28T13:03:47.19" personId="{0E565CD3-EF5C-43B9-AE1B-86B93D14D275}" id="{89C33586-7617-41A9-9927-C3EEF1703468}">
    <text>Puede modificar el monto en caso de que este aporte esté distribuido en distintas instituciones.-</text>
  </threadedComment>
  <threadedComment ref="G9" dT="2025-01-28T13:03:47.19" personId="{0E565CD3-EF5C-43B9-AE1B-86B93D14D275}" id="{75B59B58-F912-4988-80D5-555831CC8556}">
    <text>Puede modificar el monto en caso de que este aporte esté distribuido en distintas instituciones.-</text>
  </threadedComment>
  <threadedComment ref="G11" dT="2025-01-28T13:03:47.19" personId="{0E565CD3-EF5C-43B9-AE1B-86B93D14D275}" id="{F6ED456A-0283-4CCC-9F94-F10A9C4FB954}">
    <text>Puede modificar el monto en caso de que este aporte esté distribuido en distintas instituciones.-</text>
  </threadedComment>
  <threadedComment ref="G12" dT="2025-01-28T13:03:47.19" personId="{0E565CD3-EF5C-43B9-AE1B-86B93D14D275}" id="{BF38B127-74C0-45FF-8532-13088784B80B}">
    <text>Puede modificar el monto en caso de que este aporte esté distribuido en distintas instituciones.-</text>
  </threadedComment>
  <threadedComment ref="G13" dT="2025-01-28T13:03:47.19" personId="{0E565CD3-EF5C-43B9-AE1B-86B93D14D275}" id="{8FFC5D1E-1884-40B0-B0C2-9C506B913365}">
    <text>Puede modificar el monto en caso de que este aporte esté distribuido en distintas instituciones.-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1:H14"/>
  <sheetViews>
    <sheetView showGridLines="0" zoomScale="90" zoomScaleNormal="90" workbookViewId="0">
      <selection activeCell="B1" sqref="B1"/>
    </sheetView>
  </sheetViews>
  <sheetFormatPr defaultColWidth="11.42578125" defaultRowHeight="15"/>
  <cols>
    <col min="1" max="1" width="1.5703125" customWidth="1"/>
    <col min="2" max="2" width="226.42578125" customWidth="1"/>
    <col min="3" max="3" width="5.7109375" customWidth="1"/>
    <col min="6" max="6" width="15" customWidth="1"/>
    <col min="13" max="13" width="7.7109375" customWidth="1"/>
  </cols>
  <sheetData>
    <row r="1" spans="2:8" s="261" customFormat="1" ht="21" customHeight="1">
      <c r="B1" s="260" t="s">
        <v>0</v>
      </c>
    </row>
    <row r="2" spans="2:8" ht="9.6" customHeight="1"/>
    <row r="3" spans="2:8" ht="50.45" customHeight="1">
      <c r="B3" s="224" t="s">
        <v>1</v>
      </c>
      <c r="C3" s="225"/>
      <c r="D3" s="225"/>
      <c r="E3" s="225"/>
      <c r="F3" s="225"/>
      <c r="G3" s="225"/>
      <c r="H3" s="225"/>
    </row>
    <row r="4" spans="2:8" ht="22.5" customHeight="1">
      <c r="B4" s="226" t="s">
        <v>2</v>
      </c>
    </row>
    <row r="5" spans="2:8" ht="109.9" customHeight="1">
      <c r="B5" s="343" t="s">
        <v>3</v>
      </c>
    </row>
    <row r="6" spans="2:8" ht="22.5" customHeight="1">
      <c r="B6" s="226" t="s">
        <v>4</v>
      </c>
    </row>
    <row r="7" spans="2:8" ht="25.15" customHeight="1">
      <c r="B7" s="344" t="s">
        <v>5</v>
      </c>
    </row>
    <row r="8" spans="2:8" ht="25.15" customHeight="1">
      <c r="B8" s="345" t="s">
        <v>6</v>
      </c>
    </row>
    <row r="9" spans="2:8" ht="48.75" customHeight="1">
      <c r="B9" s="347" t="s">
        <v>7</v>
      </c>
    </row>
    <row r="10" spans="2:8" ht="37.9" customHeight="1">
      <c r="B10" s="345" t="s">
        <v>8</v>
      </c>
    </row>
    <row r="11" spans="2:8" ht="51.75" customHeight="1">
      <c r="B11" s="347" t="s">
        <v>9</v>
      </c>
    </row>
    <row r="12" spans="2:8" ht="25.15" customHeight="1">
      <c r="B12" s="346" t="s">
        <v>10</v>
      </c>
    </row>
    <row r="13" spans="2:8" ht="25.15" customHeight="1">
      <c r="B13" s="345" t="s">
        <v>11</v>
      </c>
    </row>
    <row r="14" spans="2:8" ht="34.5" customHeight="1">
      <c r="B14" s="344" t="s">
        <v>12</v>
      </c>
    </row>
  </sheetData>
  <sheetProtection algorithmName="SHA-512" hashValue="XuDlcmYwwQukuMjaQ8+wIeics8knS7dQ8Jbq7v2kweMDUOudSRLcmNX2s2W5r1THnZChbxqFNnLtvIPJC6F1PA==" saltValue="onqWXd87DcFOE74P4BPUKg==" spinCount="100000" sheet="1" selectLockedCells="1" selectUnlockedCells="1"/>
  <printOptions horizontalCentered="1"/>
  <pageMargins left="0" right="0" top="0.78740157480314965" bottom="0.98425196850393704" header="0.31496062992125984" footer="0.59055118110236227"/>
  <pageSetup scale="75" orientation="landscape" r:id="rId1"/>
  <headerFooter alignWithMargins="0">
    <oddFooter>&amp;L&amp;A - &amp;F
&amp;D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2"/>
  <sheetViews>
    <sheetView zoomScale="90" zoomScaleNormal="90" workbookViewId="0">
      <selection activeCell="S4" sqref="S4"/>
    </sheetView>
  </sheetViews>
  <sheetFormatPr defaultColWidth="11.5703125" defaultRowHeight="15"/>
  <cols>
    <col min="1" max="1" width="35.28515625" style="269" customWidth="1"/>
    <col min="2" max="2" width="27.85546875" style="295" customWidth="1"/>
    <col min="3" max="3" width="14.7109375" style="2" customWidth="1"/>
    <col min="4" max="4" width="12.42578125" style="2" customWidth="1"/>
    <col min="5" max="5" width="4.7109375" style="2" customWidth="1"/>
    <col min="6" max="6" width="14.7109375" style="2" customWidth="1"/>
    <col min="7" max="7" width="12.42578125" style="2" customWidth="1"/>
    <col min="8" max="8" width="5.28515625" style="2" customWidth="1"/>
    <col min="9" max="9" width="14.7109375" style="2" customWidth="1"/>
    <col min="10" max="10" width="12.42578125" style="2" customWidth="1"/>
    <col min="11" max="12" width="11.5703125" style="2"/>
    <col min="13" max="13" width="4.7109375" customWidth="1"/>
    <col min="14" max="14" width="14.7109375" style="2" customWidth="1"/>
    <col min="15" max="15" width="12.42578125" style="2" customWidth="1"/>
    <col min="16" max="17" width="11.5703125" style="2"/>
    <col min="18" max="18" width="4.7109375" customWidth="1"/>
    <col min="19" max="16384" width="11.5703125" style="2"/>
  </cols>
  <sheetData>
    <row r="1" spans="1:21" ht="20.45" customHeight="1">
      <c r="C1" s="492" t="s">
        <v>164</v>
      </c>
      <c r="D1" s="492"/>
      <c r="E1" s="269"/>
      <c r="F1" s="493" t="s">
        <v>165</v>
      </c>
      <c r="G1" s="493"/>
      <c r="I1" s="494" t="s">
        <v>166</v>
      </c>
      <c r="J1" s="494"/>
      <c r="N1" s="494" t="s">
        <v>166</v>
      </c>
      <c r="O1" s="494"/>
    </row>
    <row r="2" spans="1:21" ht="18" customHeight="1">
      <c r="C2" s="270" t="s">
        <v>167</v>
      </c>
      <c r="D2" s="271"/>
      <c r="E2" s="272"/>
      <c r="F2" s="270" t="s">
        <v>167</v>
      </c>
      <c r="G2" s="271"/>
      <c r="I2" s="270" t="s">
        <v>167</v>
      </c>
      <c r="J2" s="271"/>
      <c r="K2" s="496" t="s">
        <v>168</v>
      </c>
      <c r="L2" s="497"/>
      <c r="N2" s="270" t="s">
        <v>167</v>
      </c>
      <c r="O2" s="271"/>
      <c r="P2" s="496" t="s">
        <v>168</v>
      </c>
      <c r="Q2" s="497"/>
      <c r="S2" s="495" t="s">
        <v>168</v>
      </c>
      <c r="T2" s="495"/>
      <c r="U2" s="495"/>
    </row>
    <row r="3" spans="1:21" ht="15.6" customHeight="1">
      <c r="B3" s="297" t="s">
        <v>169</v>
      </c>
      <c r="C3" s="273" t="s">
        <v>170</v>
      </c>
      <c r="D3" s="274" t="s">
        <v>171</v>
      </c>
      <c r="E3" s="275"/>
      <c r="F3" s="273" t="s">
        <v>170</v>
      </c>
      <c r="G3" s="274" t="s">
        <v>171</v>
      </c>
      <c r="H3" s="275"/>
      <c r="I3" s="276" t="s">
        <v>170</v>
      </c>
      <c r="J3" s="277" t="s">
        <v>171</v>
      </c>
      <c r="K3" s="278" t="s">
        <v>172</v>
      </c>
      <c r="L3" s="279" t="s">
        <v>173</v>
      </c>
      <c r="N3" s="276" t="s">
        <v>170</v>
      </c>
      <c r="O3" s="277" t="s">
        <v>171</v>
      </c>
      <c r="P3" s="278" t="s">
        <v>172</v>
      </c>
      <c r="Q3" s="279" t="s">
        <v>173</v>
      </c>
      <c r="S3" s="278" t="s">
        <v>172</v>
      </c>
      <c r="T3" s="279" t="s">
        <v>173</v>
      </c>
      <c r="U3" s="279" t="s">
        <v>174</v>
      </c>
    </row>
    <row r="4" spans="1:21" ht="22.15" customHeight="1">
      <c r="A4" s="280" t="s">
        <v>80</v>
      </c>
      <c r="B4" s="296"/>
      <c r="C4" s="281"/>
      <c r="D4" s="282">
        <f>+C4*$D$2</f>
        <v>0</v>
      </c>
      <c r="E4" s="275"/>
      <c r="F4" s="281"/>
      <c r="G4" s="282">
        <f t="shared" ref="G4:G10" si="0">+F4*$G$2</f>
        <v>0</v>
      </c>
      <c r="H4" s="275"/>
      <c r="I4" s="283"/>
      <c r="J4" s="282">
        <f t="shared" ref="J4:J10" si="1">+I4*$J$2</f>
        <v>0</v>
      </c>
      <c r="K4" s="282"/>
      <c r="L4" s="282"/>
      <c r="N4" s="283"/>
      <c r="O4" s="282">
        <f t="shared" ref="O4:O10" si="2">+N4*$J$2</f>
        <v>0</v>
      </c>
      <c r="P4" s="282"/>
      <c r="Q4" s="282"/>
      <c r="S4" s="282">
        <f t="shared" ref="S4:T10" si="3">SUMIF($I$3:$Q$3,S$3,$I4:$Q4)</f>
        <v>0</v>
      </c>
      <c r="T4" s="282">
        <f t="shared" si="3"/>
        <v>0</v>
      </c>
      <c r="U4" s="284">
        <f>SUM(S4:T4)</f>
        <v>0</v>
      </c>
    </row>
    <row r="5" spans="1:21" ht="22.15" customHeight="1">
      <c r="A5" s="280" t="s">
        <v>32</v>
      </c>
      <c r="B5" s="296"/>
      <c r="C5" s="281"/>
      <c r="D5" s="282">
        <f t="shared" ref="D5:D10" si="4">+C5*$D$2</f>
        <v>0</v>
      </c>
      <c r="E5" s="275"/>
      <c r="F5" s="281"/>
      <c r="G5" s="282">
        <f t="shared" si="0"/>
        <v>0</v>
      </c>
      <c r="H5" s="275"/>
      <c r="I5" s="283"/>
      <c r="J5" s="282">
        <f t="shared" si="1"/>
        <v>0</v>
      </c>
      <c r="K5" s="282"/>
      <c r="L5" s="282"/>
      <c r="N5" s="283"/>
      <c r="O5" s="282">
        <f t="shared" si="2"/>
        <v>0</v>
      </c>
      <c r="P5" s="282"/>
      <c r="Q5" s="282"/>
      <c r="S5" s="282">
        <f t="shared" si="3"/>
        <v>0</v>
      </c>
      <c r="T5" s="282">
        <f t="shared" si="3"/>
        <v>0</v>
      </c>
      <c r="U5" s="284">
        <f t="shared" ref="U5:U10" si="5">SUM(S5:T5)</f>
        <v>0</v>
      </c>
    </row>
    <row r="6" spans="1:21" ht="22.15" customHeight="1">
      <c r="A6" s="280" t="s">
        <v>68</v>
      </c>
      <c r="B6" s="296"/>
      <c r="C6" s="281"/>
      <c r="D6" s="282">
        <f t="shared" si="4"/>
        <v>0</v>
      </c>
      <c r="E6" s="275"/>
      <c r="F6" s="281"/>
      <c r="G6" s="282">
        <f t="shared" si="0"/>
        <v>0</v>
      </c>
      <c r="H6" s="275"/>
      <c r="I6" s="283"/>
      <c r="J6" s="282">
        <f t="shared" si="1"/>
        <v>0</v>
      </c>
      <c r="K6" s="282"/>
      <c r="L6" s="282"/>
      <c r="N6" s="283"/>
      <c r="O6" s="282">
        <f t="shared" si="2"/>
        <v>0</v>
      </c>
      <c r="P6" s="282"/>
      <c r="Q6" s="282"/>
      <c r="S6" s="282">
        <f t="shared" si="3"/>
        <v>0</v>
      </c>
      <c r="T6" s="282">
        <f t="shared" si="3"/>
        <v>0</v>
      </c>
      <c r="U6" s="284">
        <f t="shared" si="5"/>
        <v>0</v>
      </c>
    </row>
    <row r="7" spans="1:21" ht="22.15" customHeight="1">
      <c r="A7" s="280" t="s">
        <v>84</v>
      </c>
      <c r="B7" s="296"/>
      <c r="C7" s="281"/>
      <c r="D7" s="282">
        <f t="shared" si="4"/>
        <v>0</v>
      </c>
      <c r="E7" s="275"/>
      <c r="F7" s="281"/>
      <c r="G7" s="282">
        <f t="shared" si="0"/>
        <v>0</v>
      </c>
      <c r="H7" s="275"/>
      <c r="I7" s="283"/>
      <c r="J7" s="282">
        <f t="shared" si="1"/>
        <v>0</v>
      </c>
      <c r="K7" s="282"/>
      <c r="L7" s="282"/>
      <c r="N7" s="283"/>
      <c r="O7" s="282">
        <f t="shared" si="2"/>
        <v>0</v>
      </c>
      <c r="P7" s="282"/>
      <c r="Q7" s="282"/>
      <c r="S7" s="282">
        <f t="shared" si="3"/>
        <v>0</v>
      </c>
      <c r="T7" s="282">
        <f t="shared" si="3"/>
        <v>0</v>
      </c>
      <c r="U7" s="284">
        <f t="shared" si="5"/>
        <v>0</v>
      </c>
    </row>
    <row r="8" spans="1:21" ht="22.15" customHeight="1">
      <c r="A8" s="280" t="s">
        <v>69</v>
      </c>
      <c r="B8" s="296"/>
      <c r="C8" s="281"/>
      <c r="D8" s="282">
        <f t="shared" si="4"/>
        <v>0</v>
      </c>
      <c r="E8" s="275"/>
      <c r="F8" s="281"/>
      <c r="G8" s="282">
        <f t="shared" si="0"/>
        <v>0</v>
      </c>
      <c r="H8" s="275"/>
      <c r="I8" s="283"/>
      <c r="J8" s="282">
        <f t="shared" si="1"/>
        <v>0</v>
      </c>
      <c r="K8" s="282"/>
      <c r="L8" s="282"/>
      <c r="N8" s="283"/>
      <c r="O8" s="282">
        <f t="shared" si="2"/>
        <v>0</v>
      </c>
      <c r="P8" s="282"/>
      <c r="Q8" s="282"/>
      <c r="S8" s="282">
        <f t="shared" si="3"/>
        <v>0</v>
      </c>
      <c r="T8" s="282">
        <f t="shared" si="3"/>
        <v>0</v>
      </c>
      <c r="U8" s="284">
        <f t="shared" si="5"/>
        <v>0</v>
      </c>
    </row>
    <row r="9" spans="1:21" ht="22.15" customHeight="1">
      <c r="A9" s="280" t="s">
        <v>70</v>
      </c>
      <c r="B9" s="296"/>
      <c r="C9" s="281"/>
      <c r="D9" s="282">
        <f t="shared" si="4"/>
        <v>0</v>
      </c>
      <c r="E9" s="275"/>
      <c r="F9" s="281"/>
      <c r="G9" s="282">
        <f t="shared" si="0"/>
        <v>0</v>
      </c>
      <c r="H9" s="275"/>
      <c r="I9" s="283"/>
      <c r="J9" s="282">
        <f t="shared" si="1"/>
        <v>0</v>
      </c>
      <c r="K9" s="282"/>
      <c r="L9" s="282"/>
      <c r="N9" s="283"/>
      <c r="O9" s="282">
        <f t="shared" si="2"/>
        <v>0</v>
      </c>
      <c r="P9" s="282"/>
      <c r="Q9" s="282"/>
      <c r="S9" s="282">
        <f t="shared" si="3"/>
        <v>0</v>
      </c>
      <c r="T9" s="282">
        <f t="shared" si="3"/>
        <v>0</v>
      </c>
      <c r="U9" s="284">
        <f t="shared" si="5"/>
        <v>0</v>
      </c>
    </row>
    <row r="10" spans="1:21" ht="22.15" customHeight="1">
      <c r="A10" s="280" t="s">
        <v>71</v>
      </c>
      <c r="B10" s="296"/>
      <c r="C10" s="281"/>
      <c r="D10" s="282">
        <f t="shared" si="4"/>
        <v>0</v>
      </c>
      <c r="E10" s="275"/>
      <c r="F10" s="281"/>
      <c r="G10" s="282">
        <f t="shared" si="0"/>
        <v>0</v>
      </c>
      <c r="H10" s="275"/>
      <c r="I10" s="283"/>
      <c r="J10" s="282">
        <f t="shared" si="1"/>
        <v>0</v>
      </c>
      <c r="K10" s="282"/>
      <c r="L10" s="282"/>
      <c r="N10" s="283"/>
      <c r="O10" s="282">
        <f t="shared" si="2"/>
        <v>0</v>
      </c>
      <c r="P10" s="282"/>
      <c r="Q10" s="282"/>
      <c r="S10" s="282">
        <f t="shared" si="3"/>
        <v>0</v>
      </c>
      <c r="T10" s="282">
        <f t="shared" si="3"/>
        <v>0</v>
      </c>
      <c r="U10" s="284">
        <f t="shared" si="5"/>
        <v>0</v>
      </c>
    </row>
    <row r="11" spans="1:21" ht="22.15" customHeight="1">
      <c r="C11" s="285">
        <f>SUM(C4:C10)</f>
        <v>0</v>
      </c>
      <c r="D11" s="286">
        <f>SUM(D4:D10)</f>
        <v>0</v>
      </c>
      <c r="E11" s="275"/>
      <c r="F11" s="285">
        <f>SUM(F4:F10)</f>
        <v>0</v>
      </c>
      <c r="G11" s="286">
        <f>SUM(G4:G10)</f>
        <v>0</v>
      </c>
      <c r="H11" s="275"/>
      <c r="I11" s="287">
        <f>SUM(I4:I10)</f>
        <v>0</v>
      </c>
      <c r="J11" s="288">
        <f>SUM(J4:J10)</f>
        <v>0</v>
      </c>
      <c r="K11" s="289">
        <f>SUM(K4:K10)</f>
        <v>0</v>
      </c>
      <c r="L11" s="289">
        <f>SUM(L4:L10)</f>
        <v>0</v>
      </c>
      <c r="N11" s="287">
        <f>SUM(N4:N10)</f>
        <v>0</v>
      </c>
      <c r="O11" s="288">
        <f>SUM(O4:O10)</f>
        <v>0</v>
      </c>
      <c r="P11" s="289">
        <f>SUM(P4:P10)</f>
        <v>0</v>
      </c>
      <c r="Q11" s="289">
        <f>SUM(Q4:Q10)</f>
        <v>0</v>
      </c>
      <c r="S11" s="289">
        <f>SUM(S4:S10)</f>
        <v>0</v>
      </c>
      <c r="T11" s="289">
        <f>SUM(T4:T10)</f>
        <v>0</v>
      </c>
      <c r="U11" s="289">
        <f>SUM(U4:U10)</f>
        <v>0</v>
      </c>
    </row>
    <row r="12" spans="1:21">
      <c r="C12" s="290"/>
      <c r="D12" s="275"/>
      <c r="E12" s="275"/>
      <c r="F12" s="290"/>
      <c r="G12" s="275"/>
      <c r="H12" s="275"/>
      <c r="I12" s="291"/>
      <c r="J12" s="275"/>
      <c r="K12" s="275"/>
      <c r="L12" s="275"/>
      <c r="N12" s="291"/>
      <c r="O12" s="275"/>
      <c r="P12" s="275"/>
      <c r="Q12" s="275"/>
      <c r="S12" s="275"/>
      <c r="T12" s="275"/>
      <c r="U12" s="275"/>
    </row>
    <row r="13" spans="1:21">
      <c r="C13" s="290"/>
      <c r="D13" s="275"/>
      <c r="E13" s="275"/>
      <c r="F13" s="290"/>
      <c r="G13" s="275"/>
      <c r="I13" s="291"/>
      <c r="J13" s="275"/>
      <c r="K13" s="275"/>
      <c r="L13" s="275"/>
      <c r="N13" s="291"/>
      <c r="O13" s="275"/>
      <c r="P13" s="275"/>
      <c r="Q13" s="275"/>
      <c r="S13" s="275"/>
      <c r="T13" s="275"/>
      <c r="U13" s="275"/>
    </row>
    <row r="14" spans="1:21" ht="16.149999999999999" customHeight="1">
      <c r="A14" s="292" t="s">
        <v>80</v>
      </c>
      <c r="B14" s="296"/>
      <c r="C14" s="281">
        <f>SUMIF($A$4:$A$10,$A14,C$4:C$10)</f>
        <v>0</v>
      </c>
      <c r="D14" s="282">
        <f>SUMIF($A$4:$A$10,$A14,D$4:D$10)</f>
        <v>0</v>
      </c>
      <c r="E14" s="275"/>
      <c r="F14" s="281">
        <f>SUMIF($A$4:$A$10,$A14,F$4:F$10)</f>
        <v>0</v>
      </c>
      <c r="G14" s="282">
        <f>SUMIF($A$4:$A$10,$A14,G$4:G$10)</f>
        <v>0</v>
      </c>
      <c r="I14" s="283">
        <f>SUMIF($A$4:$A$10,$A14,I$4:I$10)</f>
        <v>0</v>
      </c>
      <c r="J14" s="282">
        <f>SUMIF($A$4:$A$10,$A14,J$4:J$10)</f>
        <v>0</v>
      </c>
      <c r="K14" s="282">
        <f>SUMIF($A$4:$A$10,$A14,K$4:K$10)</f>
        <v>0</v>
      </c>
      <c r="L14" s="282">
        <f>SUMIF($A$4:$A$10,$A14,L$4:L$10)</f>
        <v>0</v>
      </c>
      <c r="N14" s="283">
        <f>SUMIF($A$4:$A$10,$A14,N$4:N$10)</f>
        <v>0</v>
      </c>
      <c r="O14" s="282">
        <f>SUMIF($A$4:$A$10,$A14,O$4:O$10)</f>
        <v>0</v>
      </c>
      <c r="P14" s="282">
        <f>SUMIF($A$4:$A$10,$A14,P$4:P$10)</f>
        <v>0</v>
      </c>
      <c r="Q14" s="282">
        <f>SUMIF($A$4:$A$10,$A14,Q$4:Q$10)</f>
        <v>0</v>
      </c>
      <c r="R14" s="2"/>
      <c r="S14" s="282">
        <f>SUMIF($A$4:$A$10,$A14,S$4:S$10)</f>
        <v>0</v>
      </c>
      <c r="T14" s="282">
        <f>SUMIF($A$4:$A$10,$A14,T$4:T$10)</f>
        <v>0</v>
      </c>
      <c r="U14" s="282">
        <f>SUMIF($A$4:$A$10,$A14,U$4:U$10)</f>
        <v>0</v>
      </c>
    </row>
    <row r="15" spans="1:21" ht="16.149999999999999" customHeight="1">
      <c r="A15" s="292" t="s">
        <v>32</v>
      </c>
      <c r="B15" s="296"/>
      <c r="C15" s="281">
        <f t="shared" ref="C15:U20" si="6">SUMIF($A$4:$A$10,$A15,C$4:C$10)</f>
        <v>0</v>
      </c>
      <c r="D15" s="282">
        <f t="shared" si="6"/>
        <v>0</v>
      </c>
      <c r="E15" s="275"/>
      <c r="F15" s="281">
        <f t="shared" si="6"/>
        <v>0</v>
      </c>
      <c r="G15" s="282">
        <f t="shared" si="6"/>
        <v>0</v>
      </c>
      <c r="I15" s="283">
        <f t="shared" si="6"/>
        <v>0</v>
      </c>
      <c r="J15" s="282">
        <f t="shared" si="6"/>
        <v>0</v>
      </c>
      <c r="K15" s="282">
        <f t="shared" si="6"/>
        <v>0</v>
      </c>
      <c r="L15" s="282">
        <f t="shared" si="6"/>
        <v>0</v>
      </c>
      <c r="N15" s="283">
        <f t="shared" si="6"/>
        <v>0</v>
      </c>
      <c r="O15" s="282">
        <f t="shared" si="6"/>
        <v>0</v>
      </c>
      <c r="P15" s="282">
        <f t="shared" si="6"/>
        <v>0</v>
      </c>
      <c r="Q15" s="282">
        <f t="shared" si="6"/>
        <v>0</v>
      </c>
      <c r="R15" s="2"/>
      <c r="S15" s="282">
        <f t="shared" si="6"/>
        <v>0</v>
      </c>
      <c r="T15" s="282">
        <f t="shared" si="6"/>
        <v>0</v>
      </c>
      <c r="U15" s="282">
        <f t="shared" si="6"/>
        <v>0</v>
      </c>
    </row>
    <row r="16" spans="1:21" ht="16.149999999999999" customHeight="1">
      <c r="A16" s="292" t="s">
        <v>68</v>
      </c>
      <c r="B16" s="296"/>
      <c r="C16" s="281">
        <f t="shared" si="6"/>
        <v>0</v>
      </c>
      <c r="D16" s="282">
        <f t="shared" si="6"/>
        <v>0</v>
      </c>
      <c r="E16" s="275"/>
      <c r="F16" s="281">
        <f t="shared" si="6"/>
        <v>0</v>
      </c>
      <c r="G16" s="282">
        <f t="shared" si="6"/>
        <v>0</v>
      </c>
      <c r="I16" s="283">
        <f t="shared" si="6"/>
        <v>0</v>
      </c>
      <c r="J16" s="282">
        <f t="shared" si="6"/>
        <v>0</v>
      </c>
      <c r="K16" s="282">
        <f t="shared" si="6"/>
        <v>0</v>
      </c>
      <c r="L16" s="282">
        <f t="shared" si="6"/>
        <v>0</v>
      </c>
      <c r="N16" s="283">
        <f t="shared" si="6"/>
        <v>0</v>
      </c>
      <c r="O16" s="282">
        <f t="shared" si="6"/>
        <v>0</v>
      </c>
      <c r="P16" s="282">
        <f t="shared" si="6"/>
        <v>0</v>
      </c>
      <c r="Q16" s="282">
        <f t="shared" si="6"/>
        <v>0</v>
      </c>
      <c r="R16" s="2"/>
      <c r="S16" s="282">
        <f t="shared" si="6"/>
        <v>0</v>
      </c>
      <c r="T16" s="282">
        <f t="shared" si="6"/>
        <v>0</v>
      </c>
      <c r="U16" s="282">
        <f t="shared" si="6"/>
        <v>0</v>
      </c>
    </row>
    <row r="17" spans="1:21" ht="16.149999999999999" customHeight="1">
      <c r="A17" s="292" t="s">
        <v>84</v>
      </c>
      <c r="B17" s="296"/>
      <c r="C17" s="281">
        <f t="shared" si="6"/>
        <v>0</v>
      </c>
      <c r="D17" s="282">
        <f t="shared" si="6"/>
        <v>0</v>
      </c>
      <c r="E17" s="275"/>
      <c r="F17" s="281">
        <f t="shared" si="6"/>
        <v>0</v>
      </c>
      <c r="G17" s="282">
        <f t="shared" si="6"/>
        <v>0</v>
      </c>
      <c r="I17" s="283">
        <f t="shared" si="6"/>
        <v>0</v>
      </c>
      <c r="J17" s="282">
        <f t="shared" si="6"/>
        <v>0</v>
      </c>
      <c r="K17" s="282">
        <f t="shared" si="6"/>
        <v>0</v>
      </c>
      <c r="L17" s="282">
        <f t="shared" si="6"/>
        <v>0</v>
      </c>
      <c r="N17" s="283">
        <f t="shared" si="6"/>
        <v>0</v>
      </c>
      <c r="O17" s="282">
        <f t="shared" si="6"/>
        <v>0</v>
      </c>
      <c r="P17" s="282">
        <f t="shared" si="6"/>
        <v>0</v>
      </c>
      <c r="Q17" s="282">
        <f t="shared" si="6"/>
        <v>0</v>
      </c>
      <c r="R17" s="2"/>
      <c r="S17" s="282">
        <f t="shared" si="6"/>
        <v>0</v>
      </c>
      <c r="T17" s="282">
        <f t="shared" si="6"/>
        <v>0</v>
      </c>
      <c r="U17" s="282">
        <f t="shared" si="6"/>
        <v>0</v>
      </c>
    </row>
    <row r="18" spans="1:21" ht="16.149999999999999" customHeight="1">
      <c r="A18" s="292" t="s">
        <v>69</v>
      </c>
      <c r="B18" s="296"/>
      <c r="C18" s="281">
        <f t="shared" si="6"/>
        <v>0</v>
      </c>
      <c r="D18" s="282">
        <f t="shared" si="6"/>
        <v>0</v>
      </c>
      <c r="E18" s="275"/>
      <c r="F18" s="281">
        <f t="shared" si="6"/>
        <v>0</v>
      </c>
      <c r="G18" s="282">
        <f t="shared" si="6"/>
        <v>0</v>
      </c>
      <c r="I18" s="283">
        <f t="shared" si="6"/>
        <v>0</v>
      </c>
      <c r="J18" s="282">
        <f t="shared" si="6"/>
        <v>0</v>
      </c>
      <c r="K18" s="282">
        <f t="shared" si="6"/>
        <v>0</v>
      </c>
      <c r="L18" s="282">
        <f t="shared" si="6"/>
        <v>0</v>
      </c>
      <c r="N18" s="283">
        <f t="shared" si="6"/>
        <v>0</v>
      </c>
      <c r="O18" s="282">
        <f t="shared" si="6"/>
        <v>0</v>
      </c>
      <c r="P18" s="282">
        <f t="shared" si="6"/>
        <v>0</v>
      </c>
      <c r="Q18" s="282">
        <f t="shared" si="6"/>
        <v>0</v>
      </c>
      <c r="R18" s="2"/>
      <c r="S18" s="282">
        <f t="shared" si="6"/>
        <v>0</v>
      </c>
      <c r="T18" s="282">
        <f t="shared" si="6"/>
        <v>0</v>
      </c>
      <c r="U18" s="282">
        <f t="shared" si="6"/>
        <v>0</v>
      </c>
    </row>
    <row r="19" spans="1:21" ht="16.149999999999999" customHeight="1">
      <c r="A19" s="292" t="s">
        <v>70</v>
      </c>
      <c r="B19" s="296"/>
      <c r="C19" s="281">
        <f t="shared" si="6"/>
        <v>0</v>
      </c>
      <c r="D19" s="282">
        <f t="shared" si="6"/>
        <v>0</v>
      </c>
      <c r="E19" s="275"/>
      <c r="F19" s="281">
        <f t="shared" si="6"/>
        <v>0</v>
      </c>
      <c r="G19" s="282">
        <f t="shared" si="6"/>
        <v>0</v>
      </c>
      <c r="I19" s="283">
        <f t="shared" si="6"/>
        <v>0</v>
      </c>
      <c r="J19" s="282">
        <f t="shared" si="6"/>
        <v>0</v>
      </c>
      <c r="K19" s="282">
        <f t="shared" si="6"/>
        <v>0</v>
      </c>
      <c r="L19" s="282">
        <f t="shared" si="6"/>
        <v>0</v>
      </c>
      <c r="N19" s="283">
        <f t="shared" si="6"/>
        <v>0</v>
      </c>
      <c r="O19" s="282">
        <f t="shared" si="6"/>
        <v>0</v>
      </c>
      <c r="P19" s="282">
        <f t="shared" si="6"/>
        <v>0</v>
      </c>
      <c r="Q19" s="282">
        <f t="shared" si="6"/>
        <v>0</v>
      </c>
      <c r="R19" s="2"/>
      <c r="S19" s="282">
        <f t="shared" si="6"/>
        <v>0</v>
      </c>
      <c r="T19" s="282">
        <f t="shared" si="6"/>
        <v>0</v>
      </c>
      <c r="U19" s="282">
        <f t="shared" si="6"/>
        <v>0</v>
      </c>
    </row>
    <row r="20" spans="1:21" ht="16.149999999999999" customHeight="1">
      <c r="A20" s="292" t="s">
        <v>71</v>
      </c>
      <c r="B20" s="296"/>
      <c r="C20" s="281">
        <f t="shared" si="6"/>
        <v>0</v>
      </c>
      <c r="D20" s="282">
        <f t="shared" si="6"/>
        <v>0</v>
      </c>
      <c r="E20" s="275"/>
      <c r="F20" s="281">
        <f t="shared" si="6"/>
        <v>0</v>
      </c>
      <c r="G20" s="282">
        <f t="shared" si="6"/>
        <v>0</v>
      </c>
      <c r="I20" s="283">
        <f t="shared" si="6"/>
        <v>0</v>
      </c>
      <c r="J20" s="282">
        <f t="shared" si="6"/>
        <v>0</v>
      </c>
      <c r="K20" s="282">
        <f t="shared" si="6"/>
        <v>0</v>
      </c>
      <c r="L20" s="282">
        <f t="shared" si="6"/>
        <v>0</v>
      </c>
      <c r="N20" s="283">
        <f t="shared" si="6"/>
        <v>0</v>
      </c>
      <c r="O20" s="282">
        <f t="shared" si="6"/>
        <v>0</v>
      </c>
      <c r="P20" s="282">
        <f t="shared" si="6"/>
        <v>0</v>
      </c>
      <c r="Q20" s="282">
        <f t="shared" si="6"/>
        <v>0</v>
      </c>
      <c r="R20" s="2"/>
      <c r="S20" s="282">
        <f t="shared" si="6"/>
        <v>0</v>
      </c>
      <c r="T20" s="282">
        <f t="shared" si="6"/>
        <v>0</v>
      </c>
      <c r="U20" s="282">
        <f t="shared" si="6"/>
        <v>0</v>
      </c>
    </row>
    <row r="21" spans="1:21" ht="16.149999999999999" customHeight="1">
      <c r="C21" s="285">
        <f>SUM(C14:C20)</f>
        <v>0</v>
      </c>
      <c r="D21" s="286">
        <f t="shared" ref="D21:U21" si="7">SUM(D14:D20)</f>
        <v>0</v>
      </c>
      <c r="E21" s="293"/>
      <c r="F21" s="285">
        <f t="shared" si="7"/>
        <v>0</v>
      </c>
      <c r="G21" s="286">
        <f t="shared" si="7"/>
        <v>0</v>
      </c>
      <c r="H21" s="79"/>
      <c r="I21" s="287">
        <f t="shared" si="7"/>
        <v>0</v>
      </c>
      <c r="J21" s="288">
        <f t="shared" si="7"/>
        <v>0</v>
      </c>
      <c r="K21" s="289">
        <f t="shared" ref="K21:L21" si="8">SUM(K14:K20)</f>
        <v>0</v>
      </c>
      <c r="L21" s="289">
        <f t="shared" si="8"/>
        <v>0</v>
      </c>
      <c r="N21" s="287">
        <f t="shared" ref="N21:Q21" si="9">SUM(N14:N20)</f>
        <v>0</v>
      </c>
      <c r="O21" s="288">
        <f t="shared" si="9"/>
        <v>0</v>
      </c>
      <c r="P21" s="289">
        <f t="shared" si="9"/>
        <v>0</v>
      </c>
      <c r="Q21" s="289">
        <f t="shared" si="9"/>
        <v>0</v>
      </c>
      <c r="R21" s="79"/>
      <c r="S21" s="289">
        <f t="shared" si="7"/>
        <v>0</v>
      </c>
      <c r="T21" s="289">
        <f t="shared" si="7"/>
        <v>0</v>
      </c>
      <c r="U21" s="289">
        <f t="shared" si="7"/>
        <v>0</v>
      </c>
    </row>
    <row r="22" spans="1:21">
      <c r="F22" s="294"/>
    </row>
  </sheetData>
  <mergeCells count="7">
    <mergeCell ref="C1:D1"/>
    <mergeCell ref="F1:G1"/>
    <mergeCell ref="I1:J1"/>
    <mergeCell ref="S2:U2"/>
    <mergeCell ref="N1:O1"/>
    <mergeCell ref="K2:L2"/>
    <mergeCell ref="P2:Q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showGridLines="0" tabSelected="1" topLeftCell="B10" zoomScale="80" zoomScaleNormal="80" workbookViewId="0">
      <selection activeCell="R21" sqref="R21"/>
    </sheetView>
  </sheetViews>
  <sheetFormatPr defaultColWidth="11.42578125" defaultRowHeight="15"/>
  <cols>
    <col min="1" max="1" width="2.140625" style="114" customWidth="1"/>
    <col min="2" max="2" width="11.7109375" style="114" customWidth="1"/>
    <col min="3" max="3" width="10.140625" style="114" customWidth="1"/>
    <col min="4" max="4" width="11.7109375" style="114" customWidth="1"/>
    <col min="5" max="5" width="21.42578125" style="114" customWidth="1"/>
    <col min="6" max="6" width="35.5703125" style="114" customWidth="1"/>
    <col min="7" max="9" width="15.7109375" style="114" customWidth="1"/>
    <col min="10" max="10" width="26.42578125" style="114" customWidth="1"/>
    <col min="11" max="11" width="2.42578125" style="114" customWidth="1"/>
    <col min="12" max="12" width="61.42578125" style="114" customWidth="1"/>
    <col min="13" max="13" width="2.85546875" style="114" customWidth="1"/>
    <col min="15" max="17" width="11.42578125" style="114"/>
    <col min="18" max="18" width="2.42578125" style="114" customWidth="1"/>
    <col min="19" max="16384" width="11.42578125" style="114"/>
  </cols>
  <sheetData>
    <row r="1" spans="1:14" s="212" customFormat="1" ht="24" customHeight="1">
      <c r="A1" s="208"/>
      <c r="B1" s="368" t="s">
        <v>13</v>
      </c>
      <c r="C1" s="368"/>
      <c r="D1" s="368"/>
      <c r="E1" s="368"/>
      <c r="F1" s="368"/>
      <c r="G1" s="368"/>
      <c r="H1" s="368"/>
      <c r="I1" s="368"/>
      <c r="J1" s="368"/>
      <c r="K1" s="209"/>
      <c r="L1" s="210" t="s">
        <v>14</v>
      </c>
      <c r="M1" s="211"/>
      <c r="N1"/>
    </row>
    <row r="2" spans="1:14" ht="17.45" customHeight="1">
      <c r="A2" s="213"/>
      <c r="B2" s="214" t="s">
        <v>15</v>
      </c>
      <c r="C2" s="215"/>
      <c r="K2" s="216"/>
      <c r="L2" s="361" t="s">
        <v>16</v>
      </c>
      <c r="M2" s="217"/>
    </row>
    <row r="3" spans="1:14" s="100" customFormat="1" ht="27" customHeight="1">
      <c r="A3" s="218"/>
      <c r="B3" s="376" t="s">
        <v>17</v>
      </c>
      <c r="C3" s="377"/>
      <c r="D3" s="377"/>
      <c r="E3" s="377"/>
      <c r="F3" s="378"/>
      <c r="G3" s="363" t="s">
        <v>18</v>
      </c>
      <c r="H3" s="364"/>
      <c r="I3" s="364"/>
      <c r="J3" s="365"/>
      <c r="K3" s="115"/>
      <c r="L3" s="361"/>
      <c r="M3" s="219"/>
      <c r="N3"/>
    </row>
    <row r="4" spans="1:14" ht="22.5" customHeight="1">
      <c r="A4" s="213"/>
      <c r="B4" s="370" t="s">
        <v>19</v>
      </c>
      <c r="C4" s="371"/>
      <c r="D4" s="371"/>
      <c r="E4" s="371"/>
      <c r="F4" s="372"/>
      <c r="G4" s="220" t="s">
        <v>20</v>
      </c>
      <c r="H4" s="220" t="s">
        <v>21</v>
      </c>
      <c r="I4" s="220" t="s">
        <v>22</v>
      </c>
      <c r="J4" s="302" t="s">
        <v>23</v>
      </c>
      <c r="K4" s="216"/>
      <c r="L4" s="361"/>
      <c r="M4" s="217"/>
    </row>
    <row r="5" spans="1:14" ht="23.25" customHeight="1">
      <c r="A5" s="213"/>
      <c r="B5" s="373"/>
      <c r="C5" s="374"/>
      <c r="D5" s="374"/>
      <c r="E5" s="374"/>
      <c r="F5" s="375"/>
      <c r="G5" s="221">
        <v>1000</v>
      </c>
      <c r="H5" s="221">
        <v>1100</v>
      </c>
      <c r="I5" s="221">
        <v>1</v>
      </c>
      <c r="J5" s="303"/>
      <c r="K5" s="216"/>
      <c r="L5" s="361"/>
      <c r="M5" s="217"/>
    </row>
    <row r="6" spans="1:14" s="100" customFormat="1" ht="10.5" customHeight="1">
      <c r="A6" s="218"/>
      <c r="K6" s="115"/>
      <c r="L6" s="361"/>
      <c r="M6" s="219"/>
      <c r="N6"/>
    </row>
    <row r="7" spans="1:14" ht="25.9" customHeight="1">
      <c r="A7" s="213"/>
      <c r="B7" s="362" t="s">
        <v>24</v>
      </c>
      <c r="C7" s="362"/>
      <c r="D7" s="362"/>
      <c r="E7" s="362"/>
      <c r="F7" s="358" t="s">
        <v>25</v>
      </c>
      <c r="G7" s="222" t="s">
        <v>26</v>
      </c>
      <c r="H7" s="358" t="s">
        <v>27</v>
      </c>
      <c r="I7" s="358" t="s">
        <v>28</v>
      </c>
      <c r="J7" s="366" t="s">
        <v>29</v>
      </c>
      <c r="K7" s="216"/>
      <c r="L7" s="361"/>
      <c r="M7" s="217"/>
    </row>
    <row r="8" spans="1:14" ht="19.5" customHeight="1">
      <c r="A8" s="213"/>
      <c r="B8" s="362"/>
      <c r="C8" s="362"/>
      <c r="D8" s="362"/>
      <c r="E8" s="362"/>
      <c r="F8" s="358"/>
      <c r="G8" s="302" t="s">
        <v>20</v>
      </c>
      <c r="H8" s="358"/>
      <c r="I8" s="358"/>
      <c r="J8" s="367"/>
      <c r="K8" s="216"/>
      <c r="L8" s="361"/>
      <c r="M8" s="217"/>
    </row>
    <row r="9" spans="1:14" ht="31.15" customHeight="1">
      <c r="A9" s="213"/>
      <c r="B9" s="369" t="s">
        <v>30</v>
      </c>
      <c r="C9" s="369"/>
      <c r="D9" s="362" t="s">
        <v>31</v>
      </c>
      <c r="E9" s="362"/>
      <c r="F9" s="300"/>
      <c r="G9" s="301"/>
      <c r="H9" s="223">
        <f>IF($G$8&gt;0,G9*HLOOKUP($G$8,$G$4:$J$5,2,0),0)</f>
        <v>0</v>
      </c>
      <c r="I9" s="298">
        <f>+H9</f>
        <v>0</v>
      </c>
      <c r="J9" s="304"/>
      <c r="K9" s="216"/>
      <c r="L9" s="361"/>
      <c r="M9" s="217"/>
    </row>
    <row r="10" spans="1:14" ht="30" customHeight="1">
      <c r="A10" s="213"/>
      <c r="B10" s="369"/>
      <c r="C10" s="369"/>
      <c r="D10" s="362" t="s">
        <v>32</v>
      </c>
      <c r="E10" s="362"/>
      <c r="F10" s="300"/>
      <c r="G10" s="301"/>
      <c r="H10" s="223">
        <f>IF($G$8&gt;0,G10*HLOOKUP($G$8,$G$4:$J$5,2,0),0)</f>
        <v>0</v>
      </c>
      <c r="I10" s="298">
        <f>+H10</f>
        <v>0</v>
      </c>
      <c r="J10" s="304"/>
      <c r="K10" s="216"/>
      <c r="L10" s="361"/>
      <c r="M10" s="217"/>
    </row>
    <row r="11" spans="1:14">
      <c r="A11" s="213"/>
      <c r="K11" s="216"/>
      <c r="L11" s="361"/>
      <c r="M11" s="217"/>
    </row>
    <row r="12" spans="1:14" ht="25.9" customHeight="1">
      <c r="A12" s="213"/>
      <c r="B12" s="362" t="s">
        <v>33</v>
      </c>
      <c r="C12" s="362"/>
      <c r="D12" s="362"/>
      <c r="E12" s="362"/>
      <c r="F12" s="358" t="s">
        <v>25</v>
      </c>
      <c r="G12" s="222" t="s">
        <v>26</v>
      </c>
      <c r="H12" s="358" t="s">
        <v>27</v>
      </c>
      <c r="I12" s="358" t="s">
        <v>28</v>
      </c>
      <c r="J12" s="366" t="s">
        <v>29</v>
      </c>
      <c r="K12" s="216"/>
      <c r="L12" s="361"/>
      <c r="M12" s="217"/>
    </row>
    <row r="13" spans="1:14" ht="23.25" customHeight="1">
      <c r="A13" s="213"/>
      <c r="B13" s="362"/>
      <c r="C13" s="362"/>
      <c r="D13" s="362"/>
      <c r="E13" s="362"/>
      <c r="F13" s="358"/>
      <c r="G13" s="302" t="s">
        <v>20</v>
      </c>
      <c r="H13" s="358"/>
      <c r="I13" s="358"/>
      <c r="J13" s="367"/>
      <c r="K13" s="216"/>
      <c r="L13" s="361"/>
      <c r="M13" s="217"/>
    </row>
    <row r="14" spans="1:14" ht="25.5">
      <c r="A14" s="213"/>
      <c r="B14" s="369" t="s">
        <v>30</v>
      </c>
      <c r="C14" s="369"/>
      <c r="D14" s="362" t="s">
        <v>34</v>
      </c>
      <c r="E14" s="362"/>
      <c r="F14" s="300" t="s">
        <v>35</v>
      </c>
      <c r="G14" s="301">
        <v>17479</v>
      </c>
      <c r="H14" s="223">
        <f>IF($G$13&gt;0,G14*HLOOKUP($G$13,$G$4:$J$5,2,0),0)</f>
        <v>17479000</v>
      </c>
      <c r="I14" s="223">
        <f>+H14</f>
        <v>17479000</v>
      </c>
      <c r="J14" s="304" t="s">
        <v>36</v>
      </c>
      <c r="K14" s="216"/>
      <c r="L14" s="361"/>
      <c r="M14" s="217"/>
    </row>
    <row r="15" spans="1:14" ht="51">
      <c r="A15" s="213"/>
      <c r="B15" s="369"/>
      <c r="C15" s="369"/>
      <c r="D15" s="362" t="s">
        <v>37</v>
      </c>
      <c r="E15" s="362"/>
      <c r="F15" s="300" t="s">
        <v>38</v>
      </c>
      <c r="G15" s="301">
        <v>31086.83</v>
      </c>
      <c r="H15" s="223">
        <f t="shared" ref="H15:H23" si="0">IF($G$13&gt;0,G15*HLOOKUP($G$13,$G$4:$J$5,2,0),0)</f>
        <v>31086830</v>
      </c>
      <c r="I15" s="223">
        <f>+I14+H15</f>
        <v>48565830</v>
      </c>
      <c r="J15" s="304" t="s">
        <v>36</v>
      </c>
      <c r="K15" s="216"/>
      <c r="L15" s="361"/>
      <c r="M15" s="217"/>
    </row>
    <row r="16" spans="1:14">
      <c r="A16" s="213"/>
      <c r="B16" s="369"/>
      <c r="C16" s="369"/>
      <c r="D16" s="362" t="s">
        <v>39</v>
      </c>
      <c r="E16" s="362"/>
      <c r="F16" s="300" t="s">
        <v>40</v>
      </c>
      <c r="G16" s="301">
        <v>109859.48</v>
      </c>
      <c r="H16" s="223">
        <f t="shared" si="0"/>
        <v>109859480</v>
      </c>
      <c r="I16" s="223">
        <f t="shared" ref="I16:I23" si="1">+I15+H16</f>
        <v>158425310</v>
      </c>
      <c r="J16" s="304" t="s">
        <v>36</v>
      </c>
      <c r="K16" s="216"/>
      <c r="L16" s="361"/>
      <c r="M16" s="217"/>
    </row>
    <row r="17" spans="1:15" ht="38.25">
      <c r="A17" s="213"/>
      <c r="B17" s="369"/>
      <c r="C17" s="369"/>
      <c r="D17" s="362" t="s">
        <v>41</v>
      </c>
      <c r="E17" s="362"/>
      <c r="F17" s="300" t="s">
        <v>42</v>
      </c>
      <c r="G17" s="301">
        <v>33246.400000000001</v>
      </c>
      <c r="H17" s="223">
        <f t="shared" si="0"/>
        <v>33246400</v>
      </c>
      <c r="I17" s="223">
        <f t="shared" si="1"/>
        <v>191671710</v>
      </c>
      <c r="J17" s="304" t="s">
        <v>36</v>
      </c>
      <c r="K17" s="216"/>
      <c r="L17" s="361"/>
      <c r="M17" s="217"/>
    </row>
    <row r="18" spans="1:15" ht="25.5">
      <c r="A18" s="213"/>
      <c r="B18" s="369"/>
      <c r="C18" s="369"/>
      <c r="D18" s="362" t="s">
        <v>43</v>
      </c>
      <c r="E18" s="362"/>
      <c r="F18" s="300" t="s">
        <v>44</v>
      </c>
      <c r="G18" s="301">
        <v>21906.5</v>
      </c>
      <c r="H18" s="223">
        <f t="shared" si="0"/>
        <v>21906500</v>
      </c>
      <c r="I18" s="223">
        <f>+I17+H18</f>
        <v>213578210</v>
      </c>
      <c r="J18" s="304" t="s">
        <v>36</v>
      </c>
      <c r="K18" s="216"/>
      <c r="L18" s="361"/>
      <c r="M18" s="217"/>
    </row>
    <row r="19" spans="1:15" ht="51">
      <c r="A19" s="213"/>
      <c r="B19" s="369"/>
      <c r="C19" s="369"/>
      <c r="D19" s="362" t="s">
        <v>45</v>
      </c>
      <c r="E19" s="362"/>
      <c r="F19" s="300" t="s">
        <v>46</v>
      </c>
      <c r="G19" s="301">
        <v>37876.300000000003</v>
      </c>
      <c r="H19" s="223">
        <f t="shared" si="0"/>
        <v>37876300</v>
      </c>
      <c r="I19" s="223">
        <f t="shared" si="1"/>
        <v>251454510</v>
      </c>
      <c r="J19" s="304" t="s">
        <v>36</v>
      </c>
      <c r="K19" s="216"/>
      <c r="L19" s="361"/>
      <c r="M19" s="217"/>
    </row>
    <row r="20" spans="1:15">
      <c r="A20" s="213"/>
      <c r="B20" s="369"/>
      <c r="C20" s="369"/>
      <c r="D20" s="362" t="s">
        <v>47</v>
      </c>
      <c r="E20" s="362"/>
      <c r="F20" s="300" t="s">
        <v>48</v>
      </c>
      <c r="G20" s="301">
        <v>63414.67</v>
      </c>
      <c r="H20" s="223">
        <f t="shared" si="0"/>
        <v>63414670</v>
      </c>
      <c r="I20" s="223">
        <f t="shared" si="1"/>
        <v>314869180</v>
      </c>
      <c r="J20" s="304" t="s">
        <v>36</v>
      </c>
      <c r="K20" s="216"/>
      <c r="L20" s="361"/>
      <c r="M20" s="217"/>
    </row>
    <row r="21" spans="1:15" ht="25.5">
      <c r="A21" s="213"/>
      <c r="B21" s="369"/>
      <c r="C21" s="369"/>
      <c r="D21" s="362" t="s">
        <v>49</v>
      </c>
      <c r="E21" s="362"/>
      <c r="F21" s="300" t="s">
        <v>50</v>
      </c>
      <c r="G21" s="301">
        <v>6994.5550000000003</v>
      </c>
      <c r="H21" s="223">
        <f t="shared" si="0"/>
        <v>6994555</v>
      </c>
      <c r="I21" s="223">
        <f t="shared" si="1"/>
        <v>321863735</v>
      </c>
      <c r="J21" s="304" t="s">
        <v>51</v>
      </c>
      <c r="K21" s="216"/>
      <c r="L21" s="361"/>
      <c r="M21" s="217"/>
    </row>
    <row r="22" spans="1:15" ht="30" customHeight="1">
      <c r="A22" s="213"/>
      <c r="B22" s="369"/>
      <c r="C22" s="369"/>
      <c r="D22" s="362" t="s">
        <v>52</v>
      </c>
      <c r="E22" s="362"/>
      <c r="F22" s="300"/>
      <c r="G22" s="301"/>
      <c r="H22" s="223">
        <f t="shared" si="0"/>
        <v>0</v>
      </c>
      <c r="I22" s="223">
        <f t="shared" si="1"/>
        <v>321863735</v>
      </c>
      <c r="J22" s="304"/>
      <c r="K22" s="216"/>
      <c r="L22" s="361"/>
      <c r="M22" s="217"/>
    </row>
    <row r="23" spans="1:15" ht="30" customHeight="1">
      <c r="A23" s="213"/>
      <c r="B23" s="369"/>
      <c r="C23" s="369"/>
      <c r="D23" s="362" t="s">
        <v>53</v>
      </c>
      <c r="E23" s="362"/>
      <c r="F23" s="300"/>
      <c r="G23" s="301"/>
      <c r="H23" s="223">
        <f t="shared" si="0"/>
        <v>0</v>
      </c>
      <c r="I23" s="223">
        <f t="shared" si="1"/>
        <v>321863735</v>
      </c>
      <c r="J23" s="304"/>
      <c r="K23" s="216"/>
      <c r="L23" s="361"/>
      <c r="M23" s="217"/>
    </row>
    <row r="24" spans="1:15" ht="76.5">
      <c r="A24" s="213"/>
      <c r="B24" s="369"/>
      <c r="C24" s="369"/>
      <c r="D24" s="362" t="s">
        <v>32</v>
      </c>
      <c r="E24" s="362"/>
      <c r="F24" s="300" t="s">
        <v>54</v>
      </c>
      <c r="G24" s="301">
        <v>2024</v>
      </c>
      <c r="H24" s="223">
        <f>IF($G$13&gt;0,G24*HLOOKUP($G$13,$G$4:$J$5,2,0),0)</f>
        <v>2024000</v>
      </c>
      <c r="I24" s="223">
        <f>+H24</f>
        <v>2024000</v>
      </c>
      <c r="J24" s="304" t="s">
        <v>55</v>
      </c>
      <c r="K24" s="216"/>
      <c r="L24" s="361"/>
      <c r="M24" s="217"/>
    </row>
    <row r="25" spans="1:15" ht="12.75" customHeight="1">
      <c r="A25" s="213"/>
      <c r="B25" s="353"/>
      <c r="C25" s="353"/>
      <c r="D25" s="353"/>
      <c r="E25" s="353"/>
      <c r="F25" s="353"/>
      <c r="G25" s="353"/>
      <c r="H25" s="353"/>
      <c r="I25" s="353"/>
      <c r="J25" s="353"/>
      <c r="K25" s="216"/>
      <c r="L25" s="354"/>
      <c r="M25" s="217"/>
    </row>
    <row r="26" spans="1:15" ht="27.75" customHeight="1">
      <c r="A26" s="348"/>
      <c r="B26" s="357" t="s">
        <v>56</v>
      </c>
      <c r="C26" s="357"/>
      <c r="D26" s="357"/>
      <c r="E26" s="357"/>
      <c r="F26" s="357"/>
      <c r="G26" s="357"/>
      <c r="H26" s="357"/>
      <c r="I26" s="357"/>
      <c r="J26" s="357"/>
      <c r="K26" s="357"/>
      <c r="L26" s="357"/>
      <c r="M26" s="357"/>
      <c r="O26" s="349"/>
    </row>
    <row r="27" spans="1:15" ht="221.45" customHeight="1">
      <c r="A27" s="213"/>
      <c r="B27" s="359" t="s">
        <v>57</v>
      </c>
      <c r="C27" s="360"/>
      <c r="D27" s="360"/>
      <c r="E27" s="360"/>
      <c r="F27" s="360"/>
      <c r="G27" s="360"/>
      <c r="H27" s="360"/>
      <c r="I27" s="360"/>
      <c r="J27" s="360"/>
      <c r="K27" s="360"/>
      <c r="L27" s="360"/>
      <c r="M27" s="355"/>
    </row>
    <row r="28" spans="1:15">
      <c r="A28" s="350"/>
      <c r="B28" s="351"/>
      <c r="C28" s="351"/>
      <c r="D28" s="351"/>
      <c r="E28" s="351"/>
      <c r="F28" s="351"/>
      <c r="G28" s="352"/>
      <c r="H28" s="352"/>
      <c r="I28" s="352"/>
      <c r="J28" s="352"/>
      <c r="K28" s="352"/>
      <c r="L28" s="352"/>
      <c r="M28" s="352"/>
    </row>
    <row r="30" spans="1:15">
      <c r="B30" s="379"/>
      <c r="C30" s="379"/>
      <c r="D30" s="379"/>
      <c r="E30" s="379"/>
      <c r="F30" s="379"/>
      <c r="G30" s="379"/>
      <c r="H30" s="379"/>
      <c r="I30" s="379"/>
      <c r="J30" s="379"/>
      <c r="K30" s="379"/>
      <c r="L30" s="379"/>
    </row>
    <row r="31" spans="1:15">
      <c r="B31" s="379"/>
      <c r="C31" s="379"/>
      <c r="D31" s="379"/>
      <c r="E31" s="379"/>
      <c r="F31" s="379"/>
      <c r="G31" s="379"/>
      <c r="H31" s="379"/>
      <c r="I31" s="379"/>
      <c r="J31" s="379"/>
      <c r="K31" s="379"/>
      <c r="L31" s="379"/>
    </row>
    <row r="32" spans="1:15">
      <c r="B32" s="379"/>
      <c r="C32" s="379"/>
      <c r="D32" s="379"/>
      <c r="E32" s="379"/>
      <c r="F32" s="379"/>
      <c r="G32" s="379"/>
      <c r="H32" s="379"/>
      <c r="I32" s="379"/>
      <c r="J32" s="379"/>
      <c r="K32" s="379"/>
      <c r="L32" s="379"/>
    </row>
    <row r="33" spans="2:13">
      <c r="B33" s="379"/>
      <c r="C33" s="379"/>
      <c r="D33" s="379"/>
      <c r="E33" s="379"/>
      <c r="F33" s="379"/>
      <c r="G33" s="379"/>
      <c r="H33" s="379"/>
      <c r="I33" s="379"/>
      <c r="J33" s="379"/>
      <c r="K33" s="379"/>
      <c r="L33" s="379"/>
    </row>
    <row r="34" spans="2:13">
      <c r="B34" s="379"/>
      <c r="C34" s="379"/>
      <c r="D34" s="379"/>
      <c r="E34" s="379"/>
      <c r="F34" s="379"/>
      <c r="G34" s="379"/>
      <c r="H34" s="379"/>
      <c r="I34" s="379"/>
      <c r="J34" s="379"/>
      <c r="K34" s="379"/>
      <c r="L34" s="379"/>
    </row>
    <row r="35" spans="2:13">
      <c r="B35" s="379"/>
      <c r="C35" s="379"/>
      <c r="D35" s="379"/>
      <c r="E35" s="379"/>
      <c r="F35" s="379"/>
      <c r="G35" s="379"/>
      <c r="H35" s="379"/>
      <c r="I35" s="379"/>
      <c r="J35" s="379"/>
      <c r="K35" s="379"/>
      <c r="L35" s="379"/>
    </row>
    <row r="36" spans="2:13">
      <c r="B36" s="379"/>
      <c r="C36" s="379"/>
      <c r="D36" s="379"/>
      <c r="E36" s="379"/>
      <c r="F36" s="379"/>
      <c r="G36" s="379"/>
      <c r="H36" s="379"/>
      <c r="I36" s="379"/>
      <c r="J36" s="379"/>
      <c r="K36" s="379"/>
      <c r="L36" s="379"/>
    </row>
    <row r="37" spans="2:13">
      <c r="B37" s="379"/>
      <c r="C37" s="379"/>
      <c r="D37" s="379"/>
      <c r="E37" s="379"/>
      <c r="F37" s="379"/>
      <c r="G37" s="379"/>
      <c r="H37" s="379"/>
      <c r="I37" s="379"/>
      <c r="J37" s="379"/>
      <c r="K37" s="379"/>
      <c r="L37" s="379"/>
    </row>
    <row r="38" spans="2:13">
      <c r="B38" s="379"/>
      <c r="C38" s="379"/>
      <c r="D38" s="379"/>
      <c r="E38" s="379"/>
      <c r="F38" s="379"/>
      <c r="G38" s="379"/>
      <c r="H38" s="379"/>
      <c r="I38" s="379"/>
      <c r="J38" s="379"/>
      <c r="K38" s="379"/>
      <c r="L38" s="379"/>
    </row>
    <row r="39" spans="2:13">
      <c r="B39" s="379"/>
      <c r="C39" s="379"/>
      <c r="D39" s="379"/>
      <c r="E39" s="379"/>
      <c r="F39" s="379"/>
      <c r="G39" s="379"/>
      <c r="H39" s="379"/>
      <c r="I39" s="379"/>
      <c r="J39" s="379"/>
      <c r="K39" s="379"/>
      <c r="L39" s="379"/>
    </row>
    <row r="40" spans="2:13">
      <c r="B40" s="379"/>
      <c r="C40" s="379"/>
      <c r="D40" s="379"/>
      <c r="E40" s="379"/>
      <c r="F40" s="379"/>
      <c r="G40" s="379"/>
      <c r="H40" s="379"/>
      <c r="I40" s="379"/>
      <c r="J40" s="379"/>
      <c r="K40" s="379"/>
      <c r="L40" s="379"/>
    </row>
    <row r="41" spans="2:13">
      <c r="B41" s="379"/>
      <c r="C41" s="379"/>
      <c r="D41" s="379"/>
      <c r="E41" s="379"/>
      <c r="F41" s="379"/>
      <c r="G41" s="379"/>
      <c r="H41" s="379"/>
      <c r="I41" s="379"/>
      <c r="J41" s="379"/>
      <c r="K41" s="379"/>
      <c r="L41" s="379"/>
    </row>
    <row r="45" spans="2:13">
      <c r="M45" s="100"/>
    </row>
    <row r="48" spans="2:13">
      <c r="M48" s="100"/>
    </row>
  </sheetData>
  <sheetProtection algorithmName="SHA-512" hashValue="Zjytrngzus/BIQ+Op25Rf0SIta8yD6bNHMBRSevlFZNciGvXSmACrTyp8VAZLt3MaZ6ht+OJL2GjDpMxsBTf5g==" saltValue="+JHwRJvlSBPSSPYXt9HTnA==" spinCount="100000" sheet="1" formatCells="0" formatColumns="0" formatRows="0" insertRows="0"/>
  <mergeCells count="44">
    <mergeCell ref="B31:L31"/>
    <mergeCell ref="B32:L32"/>
    <mergeCell ref="B33:L33"/>
    <mergeCell ref="B34:L34"/>
    <mergeCell ref="B30:L30"/>
    <mergeCell ref="B41:L41"/>
    <mergeCell ref="B35:L35"/>
    <mergeCell ref="B36:L36"/>
    <mergeCell ref="B37:L37"/>
    <mergeCell ref="B38:L38"/>
    <mergeCell ref="B39:L39"/>
    <mergeCell ref="B40:L40"/>
    <mergeCell ref="B1:J1"/>
    <mergeCell ref="H7:H8"/>
    <mergeCell ref="F7:F8"/>
    <mergeCell ref="D14:E14"/>
    <mergeCell ref="B14:C24"/>
    <mergeCell ref="B9:C10"/>
    <mergeCell ref="D9:E9"/>
    <mergeCell ref="B7:E8"/>
    <mergeCell ref="D10:E10"/>
    <mergeCell ref="H12:H13"/>
    <mergeCell ref="F12:F13"/>
    <mergeCell ref="B12:E13"/>
    <mergeCell ref="J7:J8"/>
    <mergeCell ref="B4:F5"/>
    <mergeCell ref="D24:E24"/>
    <mergeCell ref="B3:F3"/>
    <mergeCell ref="B26:M26"/>
    <mergeCell ref="I12:I13"/>
    <mergeCell ref="B27:L27"/>
    <mergeCell ref="L2:L24"/>
    <mergeCell ref="I7:I8"/>
    <mergeCell ref="D15:E15"/>
    <mergeCell ref="D16:E16"/>
    <mergeCell ref="D17:E17"/>
    <mergeCell ref="D18:E18"/>
    <mergeCell ref="D19:E19"/>
    <mergeCell ref="D20:E20"/>
    <mergeCell ref="D21:E21"/>
    <mergeCell ref="G3:J3"/>
    <mergeCell ref="D22:E22"/>
    <mergeCell ref="D23:E23"/>
    <mergeCell ref="J12:J13"/>
  </mergeCells>
  <phoneticPr fontId="61" type="noConversion"/>
  <dataValidations count="2">
    <dataValidation type="custom" allowBlank="1" showInputMessage="1" showErrorMessage="1" sqref="H9:H10 H14:H24" xr:uid="{00000000-0002-0000-0100-000000000000}">
      <formula1>H9</formula1>
    </dataValidation>
    <dataValidation type="list" allowBlank="1" showInputMessage="1" showErrorMessage="1" sqref="G8 G13" xr:uid="{00000000-0002-0000-0100-000001000000}">
      <formula1>$G$4:$J$4</formula1>
    </dataValidation>
  </dataValidations>
  <printOptions horizontalCentered="1"/>
  <pageMargins left="0" right="0" top="0.78740157480314965" bottom="0.78740157480314965" header="0" footer="0.39370078740157483"/>
  <pageSetup paperSize="5" scale="70" orientation="landscape" r:id="rId1"/>
  <headerFooter alignWithMargins="0">
    <oddFooter>&amp;L&amp;A - &amp;F
&amp;D</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1:P32"/>
  <sheetViews>
    <sheetView showGridLines="0" topLeftCell="B6" zoomScale="85" zoomScaleNormal="85" zoomScaleSheetLayoutView="80" workbookViewId="0">
      <selection activeCell="E10" sqref="E10"/>
    </sheetView>
  </sheetViews>
  <sheetFormatPr defaultColWidth="11.42578125" defaultRowHeight="15.75"/>
  <cols>
    <col min="1" max="1" width="0" style="82" hidden="1" customWidth="1"/>
    <col min="2" max="2" width="3.28515625" style="82" customWidth="1"/>
    <col min="3" max="3" width="53.7109375" style="82" customWidth="1"/>
    <col min="4" max="4" width="50.7109375" style="82" customWidth="1"/>
    <col min="5" max="5" width="21.140625" style="84" customWidth="1"/>
    <col min="6" max="7" width="3.28515625" style="82" customWidth="1"/>
    <col min="8" max="8" width="36.85546875" style="82" customWidth="1"/>
    <col min="9" max="9" width="3.28515625" style="82" customWidth="1"/>
    <col min="10" max="10" width="12.28515625" style="82" customWidth="1"/>
    <col min="11" max="11" width="48.140625" style="82" customWidth="1"/>
    <col min="12" max="12" width="17.7109375" style="82" customWidth="1"/>
    <col min="13" max="16" width="13.85546875" style="100" hidden="1" customWidth="1"/>
    <col min="17" max="17" width="0" style="82" hidden="1" customWidth="1"/>
    <col min="18" max="16384" width="11.42578125" style="82"/>
  </cols>
  <sheetData>
    <row r="1" spans="2:16" hidden="1"/>
    <row r="2" spans="2:16" hidden="1"/>
    <row r="3" spans="2:16" hidden="1"/>
    <row r="4" spans="2:16" hidden="1"/>
    <row r="5" spans="2:16" hidden="1"/>
    <row r="6" spans="2:16" ht="10.15" customHeight="1">
      <c r="B6" s="170"/>
      <c r="C6" s="116"/>
      <c r="D6" s="116"/>
      <c r="E6" s="113"/>
      <c r="F6" s="171"/>
      <c r="G6" s="116"/>
      <c r="H6" s="116"/>
      <c r="I6" s="171"/>
      <c r="M6" s="172">
        <f>E9+E10</f>
        <v>323887735</v>
      </c>
      <c r="N6" s="172">
        <f>(E9+E10)*10%</f>
        <v>32388773.5</v>
      </c>
      <c r="O6" s="172">
        <f>IF($M$6&gt;$M$7,$M$6-N6-400000000,0)</f>
        <v>0</v>
      </c>
      <c r="P6" s="172">
        <f>O6+N6</f>
        <v>32388773.5</v>
      </c>
    </row>
    <row r="7" spans="2:16" ht="15" customHeight="1">
      <c r="B7" s="173"/>
      <c r="C7" s="207" t="s">
        <v>58</v>
      </c>
      <c r="D7" s="174"/>
      <c r="E7" s="109" t="s">
        <v>59</v>
      </c>
      <c r="F7" s="171"/>
      <c r="G7" s="116"/>
      <c r="H7" s="175" t="s">
        <v>60</v>
      </c>
      <c r="I7" s="171"/>
      <c r="M7" s="176">
        <f>+(M8*N7)/N8</f>
        <v>444444444.44444442</v>
      </c>
      <c r="N7" s="177">
        <v>1</v>
      </c>
      <c r="P7" s="178">
        <f>+E9+E10-E16-E17</f>
        <v>323887735</v>
      </c>
    </row>
    <row r="8" spans="2:16" ht="9.6" customHeight="1" thickBot="1">
      <c r="B8" s="179"/>
      <c r="C8" s="116"/>
      <c r="D8" s="116"/>
      <c r="E8" s="113"/>
      <c r="F8" s="171"/>
      <c r="G8" s="116"/>
      <c r="H8" s="116"/>
      <c r="I8" s="171"/>
      <c r="M8" s="180">
        <v>400000000</v>
      </c>
      <c r="N8" s="181">
        <v>0.9</v>
      </c>
      <c r="P8" s="178">
        <f>IF($P$7&gt;$M$8,$P$7-$M$8,0)</f>
        <v>0</v>
      </c>
    </row>
    <row r="9" spans="2:16" ht="42" customHeight="1">
      <c r="B9" s="179"/>
      <c r="C9" s="383" t="s">
        <v>61</v>
      </c>
      <c r="D9" s="319" t="s">
        <v>62</v>
      </c>
      <c r="E9" s="320">
        <f>SUM(COTIZACIONES!H14:H23)</f>
        <v>321863735</v>
      </c>
      <c r="F9" s="171"/>
      <c r="G9" s="116"/>
      <c r="H9" s="381" t="str">
        <f>IF($M$6&gt;=50000000,"Total de A. Equipamiento cumple con el Monto Mínimo.-","Monto Total de A. Equipamiento debe ser igual o mayor a $50.000.000.-")</f>
        <v>Total de A. Equipamiento cumple con el Monto Mínimo.-</v>
      </c>
      <c r="I9" s="182"/>
      <c r="K9" s="384" t="s">
        <v>63</v>
      </c>
      <c r="M9"/>
      <c r="N9"/>
    </row>
    <row r="10" spans="2:16" ht="42" customHeight="1" thickBot="1">
      <c r="B10" s="179"/>
      <c r="C10" s="383"/>
      <c r="D10" s="321" t="s">
        <v>64</v>
      </c>
      <c r="E10" s="320">
        <f>COTIZACIONES!I24</f>
        <v>2024000</v>
      </c>
      <c r="F10" s="171"/>
      <c r="G10" s="116"/>
      <c r="H10" s="382"/>
      <c r="I10" s="182"/>
      <c r="K10" s="385"/>
    </row>
    <row r="11" spans="2:16" ht="10.15" customHeight="1">
      <c r="B11" s="170"/>
      <c r="C11" s="116"/>
      <c r="D11" s="116"/>
      <c r="E11" s="183"/>
      <c r="F11" s="171"/>
      <c r="G11" s="116"/>
      <c r="H11" s="116"/>
      <c r="I11" s="171"/>
    </row>
    <row r="12" spans="2:16" ht="10.15" customHeight="1" thickBot="1">
      <c r="B12" s="184"/>
      <c r="C12" s="185"/>
      <c r="D12" s="185"/>
      <c r="E12" s="186"/>
      <c r="F12" s="187"/>
      <c r="G12" s="185"/>
      <c r="H12" s="185"/>
      <c r="I12" s="187"/>
    </row>
    <row r="13" spans="2:16" ht="10.15" customHeight="1" thickTop="1">
      <c r="B13" s="188"/>
      <c r="C13" s="116"/>
      <c r="D13" s="116"/>
      <c r="E13" s="189"/>
      <c r="F13" s="171"/>
      <c r="G13" s="116"/>
      <c r="H13" s="116"/>
      <c r="I13" s="190"/>
    </row>
    <row r="14" spans="2:16" ht="16.899999999999999" customHeight="1">
      <c r="B14" s="173"/>
      <c r="C14" s="207" t="s">
        <v>65</v>
      </c>
      <c r="D14" s="174"/>
      <c r="E14" s="109" t="s">
        <v>59</v>
      </c>
      <c r="F14" s="171"/>
      <c r="G14" s="116"/>
      <c r="H14" s="175"/>
      <c r="I14" s="171"/>
      <c r="M14"/>
      <c r="N14"/>
      <c r="O14"/>
      <c r="P14"/>
    </row>
    <row r="15" spans="2:16" ht="10.15" customHeight="1">
      <c r="B15" s="179"/>
      <c r="C15" s="116"/>
      <c r="D15" s="116"/>
      <c r="E15" s="113"/>
      <c r="F15" s="171"/>
      <c r="G15" s="116"/>
      <c r="H15" s="116"/>
      <c r="I15" s="171"/>
      <c r="M15"/>
      <c r="N15"/>
      <c r="O15"/>
      <c r="P15"/>
    </row>
    <row r="16" spans="2:16" ht="42" customHeight="1">
      <c r="B16" s="191"/>
      <c r="C16" s="386" t="s">
        <v>66</v>
      </c>
      <c r="D16" s="319" t="s">
        <v>62</v>
      </c>
      <c r="E16" s="323">
        <v>0</v>
      </c>
      <c r="F16" s="182"/>
      <c r="G16" s="192"/>
      <c r="H16" s="388" t="str">
        <f>IF($M$6=0," ",IF((SUM($E$16:$E$21)&gt;=$P$6)*AND($E$22=0)*AND($E$23=0)*AND($M$6&gt;=50000000),"Aporte Pecuniario Institucional cumple con el 10% de A. Equipamiento.-",IF(($M$6&gt;$M$8)*OR($P$8&gt;0),"¡¡¡ Importante !!!                                      Considere que FONDEQUIP aporta un máximo de $400.000.000 por proyecto, por lo tanto, la diferencia que se produzca en A. EQUIPAMIENTO debe ser cubierta con Aporte Pecuniario Institucional.",IF($M$6&gt;=50000000,"Debe Ingresar, al menos, el 10% del costo de A. Equipamiento en los sub-ítems correspondientes.-"," "))))</f>
        <v>Aporte Pecuniario Institucional cumple con el 10% de A. Equipamiento.-</v>
      </c>
      <c r="I16" s="182"/>
      <c r="K16" s="357" t="s">
        <v>67</v>
      </c>
      <c r="M16"/>
      <c r="N16"/>
      <c r="O16"/>
      <c r="P16"/>
    </row>
    <row r="17" spans="2:16" ht="42" customHeight="1">
      <c r="B17" s="191"/>
      <c r="C17" s="387"/>
      <c r="D17" s="321" t="s">
        <v>64</v>
      </c>
      <c r="E17" s="323">
        <v>0</v>
      </c>
      <c r="F17" s="182"/>
      <c r="G17" s="192"/>
      <c r="H17" s="388"/>
      <c r="I17" s="182"/>
      <c r="K17" s="357"/>
      <c r="M17"/>
      <c r="N17"/>
      <c r="O17"/>
      <c r="P17"/>
    </row>
    <row r="18" spans="2:16" ht="42" customHeight="1">
      <c r="B18" s="191"/>
      <c r="C18" s="387"/>
      <c r="D18" s="322" t="s">
        <v>68</v>
      </c>
      <c r="E18" s="323">
        <v>75410488</v>
      </c>
      <c r="F18" s="182"/>
      <c r="G18" s="192"/>
      <c r="H18" s="388"/>
      <c r="I18" s="182"/>
      <c r="K18" s="357"/>
      <c r="M18"/>
      <c r="N18"/>
      <c r="O18"/>
      <c r="P18"/>
    </row>
    <row r="19" spans="2:16" ht="42" customHeight="1">
      <c r="B19" s="191"/>
      <c r="C19" s="387"/>
      <c r="D19" s="324" t="s">
        <v>69</v>
      </c>
      <c r="E19" s="323">
        <v>3000000</v>
      </c>
      <c r="F19" s="182"/>
      <c r="G19" s="192"/>
      <c r="H19" s="388"/>
      <c r="I19" s="182"/>
      <c r="K19" s="357"/>
      <c r="M19"/>
      <c r="N19"/>
      <c r="O19"/>
      <c r="P19"/>
    </row>
    <row r="20" spans="2:16" ht="42" customHeight="1">
      <c r="B20" s="191"/>
      <c r="C20" s="387"/>
      <c r="D20" s="319" t="s">
        <v>70</v>
      </c>
      <c r="E20" s="323">
        <v>0</v>
      </c>
      <c r="F20" s="182"/>
      <c r="G20" s="192"/>
      <c r="H20" s="388"/>
      <c r="I20" s="182"/>
      <c r="K20" s="357"/>
      <c r="M20"/>
      <c r="N20"/>
      <c r="O20"/>
      <c r="P20"/>
    </row>
    <row r="21" spans="2:16" ht="42" customHeight="1">
      <c r="B21" s="191"/>
      <c r="C21" s="387"/>
      <c r="D21" s="324" t="s">
        <v>71</v>
      </c>
      <c r="E21" s="323">
        <v>29527300</v>
      </c>
      <c r="F21" s="182"/>
      <c r="G21" s="192"/>
      <c r="H21" s="388"/>
      <c r="I21" s="182"/>
      <c r="K21" s="357"/>
      <c r="M21"/>
      <c r="N21"/>
      <c r="O21"/>
      <c r="P21"/>
    </row>
    <row r="22" spans="2:16" ht="15" customHeight="1">
      <c r="B22" s="191"/>
      <c r="C22" s="116"/>
      <c r="D22" s="193" t="str">
        <f>IF($E$22&gt;0,"Saldo para el 10% mínimo de Aporte Pecuniario","  ")</f>
        <v xml:space="preserve">  </v>
      </c>
      <c r="E22" s="194">
        <f>IF($E$23&gt;0,0,IF(SUM($E$16:$E$21)&lt;$N$6,($N$6-SUM($E$16:$E$21)),0))</f>
        <v>0</v>
      </c>
      <c r="F22" s="171"/>
      <c r="G22" s="116"/>
      <c r="H22" s="116"/>
      <c r="I22" s="182"/>
      <c r="M22"/>
      <c r="N22"/>
      <c r="O22"/>
      <c r="P22"/>
    </row>
    <row r="23" spans="2:16" ht="18.600000000000001" customHeight="1" thickBot="1">
      <c r="B23" s="195"/>
      <c r="C23" s="185"/>
      <c r="D23" s="196" t="str">
        <f>IF($E$23&gt;0,"Saldo para A. EQUIPAMIENTO"," ")</f>
        <v xml:space="preserve"> </v>
      </c>
      <c r="E23" s="197">
        <f>IF($P$8&gt;0,$P$8,0)</f>
        <v>0</v>
      </c>
      <c r="F23" s="187"/>
      <c r="G23" s="185"/>
      <c r="H23" s="185"/>
      <c r="I23" s="198"/>
      <c r="M23" s="82"/>
      <c r="N23" s="82"/>
      <c r="O23" s="82"/>
      <c r="P23" s="82"/>
    </row>
    <row r="24" spans="2:16" ht="10.15" customHeight="1" thickTop="1" thickBot="1">
      <c r="B24" s="188"/>
      <c r="C24" s="116"/>
      <c r="D24" s="116"/>
      <c r="E24" s="189"/>
      <c r="F24" s="171"/>
      <c r="G24" s="116"/>
      <c r="H24" s="116"/>
      <c r="I24" s="182"/>
      <c r="M24"/>
      <c r="N24"/>
      <c r="O24"/>
      <c r="P24"/>
    </row>
    <row r="25" spans="2:16" ht="65.25" customHeight="1">
      <c r="B25" s="188"/>
      <c r="C25" s="342" t="str">
        <f>IF(E25&gt;0,"APORTE SOLICITADO A FONDEQUIP PARA EQUIPAMIENTO","")</f>
        <v>APORTE SOLICITADO A FONDEQUIP PARA EQUIPAMIENTO</v>
      </c>
      <c r="D25" s="325" t="str">
        <f>IF(E25&gt;0,"Equipo Principal o Plataforma y/o Accesorio(s)","")</f>
        <v>Equipo Principal o Plataforma y/o Accesorio(s)</v>
      </c>
      <c r="E25" s="326">
        <f>IF(AND(M6&gt;=50000000,H16="Aporte Pecuniario Institucional cumple con el 10% de A. Equipamiento.-"),E9+E10-E16-E17,0)</f>
        <v>323887735</v>
      </c>
      <c r="F25" s="171"/>
      <c r="G25" s="116"/>
      <c r="H25" s="199" t="str">
        <f>IF(OR(E25&lt;=0,(E9+E10)&lt;50000000)," ",IF($E$25&gt;400000000,"El aporte solicitado supera el monto máximo a financiar FONDEQUIP, por lo tanto, debe complementar el Aporte Pecuniario en A. EQUIPAMIENTO.-",IF($H$16="Aporte Pecuniario Institucional cumple con el 10% de A. Equipamiento.-","Aporte Solicitado a FONDEQUIP OK")))</f>
        <v>Aporte Solicitado a FONDEQUIP OK</v>
      </c>
      <c r="I25" s="171"/>
      <c r="K25" s="200" t="s">
        <v>72</v>
      </c>
    </row>
    <row r="26" spans="2:16" ht="10.15" customHeight="1">
      <c r="B26" s="188"/>
      <c r="C26" s="116"/>
      <c r="D26" s="116"/>
      <c r="E26" s="113"/>
      <c r="F26" s="171"/>
      <c r="G26" s="116"/>
      <c r="H26" s="116"/>
      <c r="I26" s="171"/>
    </row>
    <row r="27" spans="2:16" ht="16.5" hidden="1" thickBot="1">
      <c r="B27" s="201"/>
      <c r="C27" s="202"/>
      <c r="D27" s="202"/>
      <c r="E27" s="203"/>
      <c r="F27" s="204"/>
      <c r="G27" s="202"/>
      <c r="H27" s="202"/>
      <c r="I27" s="204"/>
      <c r="J27" s="205"/>
    </row>
    <row r="29" spans="2:16" hidden="1"/>
    <row r="30" spans="2:16" ht="23.25" customHeight="1">
      <c r="C30" s="206"/>
      <c r="K30" s="380" t="str">
        <f>IF(H25="Aporte Solicitado a FONDEQUIP OK","Pase a la siguiente Hoja →    II.- Traslados, Inst. Operación","")</f>
        <v>Pase a la siguiente Hoja →    II.- Traslados, Inst. Operación</v>
      </c>
    </row>
    <row r="31" spans="2:16" ht="15" customHeight="1">
      <c r="H31"/>
      <c r="K31" s="380"/>
    </row>
    <row r="32" spans="2:16" ht="15" customHeight="1">
      <c r="K32" s="380"/>
    </row>
  </sheetData>
  <sheetProtection algorithmName="SHA-512" hashValue="gM+wRCNG76rVph/AvwLlGDjbG3QDj6GL8oLaUBiC8HxigOeocS1JHjisnuOG3DAGsIel342MWZlXSmru0i68jA==" saltValue="eraezE2NTN2n9Ea1d2W90w==" spinCount="100000" sheet="1" selectLockedCells="1"/>
  <mergeCells count="7">
    <mergeCell ref="K30:K32"/>
    <mergeCell ref="H9:H10"/>
    <mergeCell ref="C9:C10"/>
    <mergeCell ref="K9:K10"/>
    <mergeCell ref="C16:C21"/>
    <mergeCell ref="H16:H21"/>
    <mergeCell ref="K16:K21"/>
  </mergeCells>
  <conditionalFormatting sqref="C25">
    <cfRule type="containsText" dxfId="94" priority="35" operator="containsText" text="APORTE SOLICITADO A FONDEQUIP">
      <formula>NOT(ISERROR(SEARCH("APORTE SOLICITADO A FONDEQUIP",C25)))</formula>
    </cfRule>
  </conditionalFormatting>
  <conditionalFormatting sqref="D22">
    <cfRule type="containsText" dxfId="93" priority="20" stopIfTrue="1" operator="containsText" text="Saldo">
      <formula>NOT(ISERROR(SEARCH("Saldo",D22)))</formula>
    </cfRule>
  </conditionalFormatting>
  <conditionalFormatting sqref="D23">
    <cfRule type="containsText" dxfId="92" priority="1" operator="containsText" text="Saldo">
      <formula>NOT(ISERROR(SEARCH("Saldo",D23)))</formula>
    </cfRule>
  </conditionalFormatting>
  <conditionalFormatting sqref="D25">
    <cfRule type="containsText" dxfId="91" priority="36" operator="containsText" text="&quot;&quot;">
      <formula>NOT(ISERROR(SEARCH("""""",D25)))</formula>
    </cfRule>
    <cfRule type="containsText" dxfId="90" priority="37" operator="containsText" text="Equipo Principal">
      <formula>NOT(ISERROR(SEARCH("Equipo Principal",D25)))</formula>
    </cfRule>
  </conditionalFormatting>
  <conditionalFormatting sqref="E22">
    <cfRule type="cellIs" dxfId="89" priority="7" stopIfTrue="1" operator="lessThan">
      <formula>0</formula>
    </cfRule>
    <cfRule type="cellIs" dxfId="88" priority="8" stopIfTrue="1" operator="equal">
      <formula>0</formula>
    </cfRule>
    <cfRule type="cellIs" dxfId="87" priority="9" stopIfTrue="1" operator="notEqual">
      <formula>0</formula>
    </cfRule>
  </conditionalFormatting>
  <conditionalFormatting sqref="E23">
    <cfRule type="cellIs" dxfId="86" priority="2" operator="greaterThan">
      <formula>0</formula>
    </cfRule>
  </conditionalFormatting>
  <conditionalFormatting sqref="E25">
    <cfRule type="cellIs" dxfId="85" priority="19" stopIfTrue="1" operator="equal">
      <formula>0</formula>
    </cfRule>
  </conditionalFormatting>
  <conditionalFormatting sqref="H9:H10">
    <cfRule type="containsText" dxfId="84" priority="17" stopIfTrue="1" operator="containsText" text="cumple">
      <formula>NOT(ISERROR(SEARCH("cumple",H9)))</formula>
    </cfRule>
    <cfRule type="containsText" dxfId="83" priority="18" stopIfTrue="1" operator="containsText" text="Equipamiento">
      <formula>NOT(ISERROR(SEARCH("Equipamiento",H9)))</formula>
    </cfRule>
  </conditionalFormatting>
  <conditionalFormatting sqref="H16:H18">
    <cfRule type="containsText" dxfId="82" priority="14" stopIfTrue="1" operator="containsText" text="Considere que FONDEQUIP">
      <formula>NOT(ISERROR(SEARCH("Considere que FONDEQUIP",H16)))</formula>
    </cfRule>
    <cfRule type="containsText" dxfId="81" priority="15" stopIfTrue="1" operator="containsText" text="Debe Ingresar, al menos, el 10%">
      <formula>NOT(ISERROR(SEARCH("Debe Ingresar, al menos, el 10%",H16)))</formula>
    </cfRule>
    <cfRule type="containsText" dxfId="80" priority="16" stopIfTrue="1" operator="containsText" text="cumple">
      <formula>NOT(ISERROR(SEARCH("cumple",H16)))</formula>
    </cfRule>
  </conditionalFormatting>
  <conditionalFormatting sqref="H25">
    <cfRule type="containsText" dxfId="79" priority="11" stopIfTrue="1" operator="containsText" text="Debe">
      <formula>NOT(ISERROR(SEARCH("Debe",H25)))</formula>
    </cfRule>
    <cfRule type="containsText" dxfId="78" priority="13" stopIfTrue="1" operator="containsText" text="OK">
      <formula>NOT(ISERROR(SEARCH("OK",H25)))</formula>
    </cfRule>
  </conditionalFormatting>
  <conditionalFormatting sqref="I22:I24">
    <cfRule type="expression" dxfId="77" priority="89" stopIfTrue="1">
      <formula>(#REF!+#REF!=0)</formula>
    </cfRule>
    <cfRule type="containsText" dxfId="76" priority="90" stopIfTrue="1" operator="containsText" text="Ingrese Su aporte">
      <formula>NOT(ISERROR(SEARCH("Ingrese Su aporte",I22)))</formula>
    </cfRule>
  </conditionalFormatting>
  <conditionalFormatting sqref="K30:K32">
    <cfRule type="cellIs" dxfId="75" priority="23" stopIfTrue="1" operator="equal">
      <formula>"Aporte Solicitado a CONICYT OK"</formula>
    </cfRule>
  </conditionalFormatting>
  <dataValidations count="1">
    <dataValidation errorStyle="warning" operator="greaterThanOrEqual" allowBlank="1" showInputMessage="1" errorTitle="IMPORTANTE" error="Debe Ingresar, al menos, el 10% del costo del Item Equipamiento.-_x000a_" sqref="E16:E21" xr:uid="{00000000-0002-0000-0200-000000000000}"/>
  </dataValidations>
  <printOptions horizontalCentered="1"/>
  <pageMargins left="0" right="0" top="0.78740157480314965" bottom="0.78740157480314965" header="0" footer="0.59055118110236227"/>
  <pageSetup scale="75" orientation="landscape" r:id="rId1"/>
  <headerFooter alignWithMargins="0">
    <oddFooter>&amp;L&amp;A - &amp;F
&amp;D</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T32"/>
  <sheetViews>
    <sheetView showGridLines="0" topLeftCell="C16" zoomScale="90" zoomScaleNormal="90" zoomScaleSheetLayoutView="87" workbookViewId="0">
      <selection activeCell="E25" sqref="E25"/>
    </sheetView>
  </sheetViews>
  <sheetFormatPr defaultColWidth="11.42578125" defaultRowHeight="15"/>
  <cols>
    <col min="1" max="1" width="1.7109375" style="82" hidden="1" customWidth="1"/>
    <col min="2" max="2" width="31.7109375" style="82" hidden="1" customWidth="1"/>
    <col min="3" max="3" width="3.28515625" style="82" customWidth="1"/>
    <col min="4" max="4" width="59.7109375" style="82" customWidth="1"/>
    <col min="5" max="7" width="26.5703125" style="82" customWidth="1"/>
    <col min="8" max="8" width="3.140625" style="82" customWidth="1"/>
    <col min="9" max="9" width="29.7109375" style="82" customWidth="1"/>
    <col min="10" max="10" width="3.7109375" style="82" customWidth="1"/>
    <col min="11" max="11" width="14.85546875" style="82" customWidth="1"/>
    <col min="12" max="13" width="11.42578125" style="82"/>
    <col min="14" max="14" width="11.7109375" style="82" customWidth="1"/>
    <col min="15" max="15" width="11.42578125" style="82"/>
    <col min="16" max="21" width="0" style="82" hidden="1" customWidth="1"/>
    <col min="22" max="16384" width="11.42578125" style="82"/>
  </cols>
  <sheetData>
    <row r="1" spans="1:15" ht="39" hidden="1" customHeight="1"/>
    <row r="2" spans="1:15" s="112" customFormat="1" ht="44.45" customHeight="1" thickBot="1">
      <c r="A2" s="133"/>
      <c r="B2" s="133"/>
      <c r="C2" s="134"/>
      <c r="D2" s="397" t="s">
        <v>73</v>
      </c>
      <c r="E2" s="397"/>
      <c r="F2" s="397"/>
      <c r="G2" s="397"/>
      <c r="H2" s="397"/>
      <c r="I2" s="398"/>
    </row>
    <row r="3" spans="1:15" ht="6.75" customHeight="1" thickTop="1" thickBot="1">
      <c r="A3" s="125"/>
      <c r="B3" s="125"/>
      <c r="C3" s="126"/>
      <c r="D3" s="127"/>
      <c r="E3" s="127"/>
      <c r="F3" s="127"/>
      <c r="G3" s="127"/>
      <c r="H3" s="127"/>
      <c r="I3" s="128"/>
      <c r="J3" s="129"/>
    </row>
    <row r="4" spans="1:15" ht="9.75" hidden="1" customHeight="1" thickBot="1">
      <c r="A4" s="125"/>
      <c r="B4" s="125"/>
      <c r="C4" s="130"/>
      <c r="D4" s="132"/>
      <c r="I4" s="131"/>
    </row>
    <row r="5" spans="1:15" s="135" customFormat="1" ht="19.149999999999999" customHeight="1" thickTop="1" thickBot="1">
      <c r="A5" s="143"/>
      <c r="B5" s="143"/>
      <c r="C5" s="144"/>
      <c r="D5" s="145"/>
      <c r="E5" s="392" t="s">
        <v>74</v>
      </c>
      <c r="F5" s="404" t="s">
        <v>75</v>
      </c>
      <c r="G5" s="405"/>
      <c r="H5" s="146"/>
      <c r="I5" s="147"/>
      <c r="K5" s="395" t="s">
        <v>76</v>
      </c>
      <c r="L5" s="396"/>
      <c r="M5" s="396"/>
      <c r="N5" s="396"/>
    </row>
    <row r="6" spans="1:15" s="135" customFormat="1" ht="19.149999999999999" customHeight="1" thickTop="1" thickBot="1">
      <c r="A6" s="143"/>
      <c r="B6" s="143"/>
      <c r="C6" s="144"/>
      <c r="D6" s="148"/>
      <c r="E6" s="393"/>
      <c r="F6" s="149" t="s">
        <v>77</v>
      </c>
      <c r="G6" s="150" t="s">
        <v>78</v>
      </c>
      <c r="H6" s="151"/>
      <c r="I6" s="147"/>
      <c r="K6" s="394" t="s">
        <v>79</v>
      </c>
      <c r="L6" s="394"/>
      <c r="M6" s="394"/>
      <c r="N6" s="394"/>
      <c r="O6" s="152"/>
    </row>
    <row r="7" spans="1:15" s="135" customFormat="1" ht="31.9" customHeight="1" thickTop="1" thickBot="1">
      <c r="A7" s="143"/>
      <c r="B7" s="143"/>
      <c r="C7" s="153"/>
      <c r="D7" s="306" t="s">
        <v>80</v>
      </c>
      <c r="E7" s="307">
        <f>+'I.- EQUIPAMIENTO'!E9-'I.- EQUIPAMIENTO'!E16</f>
        <v>321863735</v>
      </c>
      <c r="F7" s="307">
        <f>+'DETALLE APORTES'!E7</f>
        <v>0</v>
      </c>
      <c r="G7" s="399" t="s">
        <v>81</v>
      </c>
      <c r="H7" s="151"/>
      <c r="I7" s="147"/>
      <c r="K7" s="394"/>
      <c r="L7" s="394"/>
      <c r="M7" s="394"/>
      <c r="N7" s="394"/>
      <c r="O7" s="152"/>
    </row>
    <row r="8" spans="1:15" s="135" customFormat="1" ht="31.9" customHeight="1" thickTop="1" thickBot="1">
      <c r="A8" s="143"/>
      <c r="B8" s="143"/>
      <c r="C8" s="153"/>
      <c r="D8" s="308" t="s">
        <v>82</v>
      </c>
      <c r="E8" s="309">
        <f>+'I.- EQUIPAMIENTO'!E10-'I.- EQUIPAMIENTO'!E17</f>
        <v>2024000</v>
      </c>
      <c r="F8" s="309">
        <f>+'DETALLE APORTES'!E8</f>
        <v>0</v>
      </c>
      <c r="G8" s="400"/>
      <c r="H8" s="151"/>
      <c r="I8" s="147"/>
      <c r="K8" s="394"/>
      <c r="L8" s="394"/>
      <c r="M8" s="394"/>
      <c r="N8" s="394"/>
      <c r="O8" s="152"/>
    </row>
    <row r="9" spans="1:15" s="135" customFormat="1" ht="31.9" customHeight="1" thickTop="1">
      <c r="A9" s="143"/>
      <c r="B9" s="143"/>
      <c r="C9" s="406"/>
      <c r="D9" s="306" t="s">
        <v>68</v>
      </c>
      <c r="E9" s="305">
        <v>70047169.579999998</v>
      </c>
      <c r="F9" s="305">
        <f>+'DETALLE APORTES'!E9</f>
        <v>75410488</v>
      </c>
      <c r="G9" s="401"/>
      <c r="H9" s="154"/>
      <c r="I9" s="147"/>
      <c r="K9" s="394" t="s">
        <v>83</v>
      </c>
      <c r="L9" s="394"/>
      <c r="M9" s="394"/>
      <c r="N9" s="394"/>
      <c r="O9" s="152"/>
    </row>
    <row r="10" spans="1:15" s="135" customFormat="1" ht="31.9" customHeight="1">
      <c r="A10" s="143"/>
      <c r="B10" s="143"/>
      <c r="C10" s="406"/>
      <c r="D10" s="308" t="s">
        <v>84</v>
      </c>
      <c r="E10" s="305">
        <v>0</v>
      </c>
      <c r="F10" s="305">
        <f>+'DETALLE APORTES'!E10</f>
        <v>10000000</v>
      </c>
      <c r="G10" s="305">
        <f>+'DETALLE APORTES'!F10</f>
        <v>0</v>
      </c>
      <c r="H10" s="154"/>
      <c r="I10" s="147"/>
      <c r="K10" s="394"/>
      <c r="L10" s="394"/>
      <c r="M10" s="394"/>
      <c r="N10" s="394"/>
    </row>
    <row r="11" spans="1:15" s="135" customFormat="1" ht="31.9" customHeight="1">
      <c r="A11" s="143"/>
      <c r="B11" s="143"/>
      <c r="C11" s="406"/>
      <c r="D11" s="306" t="s">
        <v>69</v>
      </c>
      <c r="E11" s="305">
        <v>0</v>
      </c>
      <c r="F11" s="305">
        <f>+'DETALLE APORTES'!E11</f>
        <v>3000000</v>
      </c>
      <c r="G11" s="305">
        <f>+'DETALLE APORTES'!F11</f>
        <v>0</v>
      </c>
      <c r="H11" s="154"/>
      <c r="I11" s="147"/>
      <c r="K11" s="394" t="s">
        <v>85</v>
      </c>
      <c r="L11" s="394"/>
      <c r="M11" s="394"/>
      <c r="N11" s="394"/>
    </row>
    <row r="12" spans="1:15" s="135" customFormat="1" ht="31.9" customHeight="1" thickBot="1">
      <c r="A12" s="143"/>
      <c r="B12" s="143"/>
      <c r="C12" s="406"/>
      <c r="D12" s="310" t="s">
        <v>70</v>
      </c>
      <c r="E12" s="305">
        <v>0</v>
      </c>
      <c r="F12" s="305">
        <f>+'DETALLE APORTES'!E12</f>
        <v>0</v>
      </c>
      <c r="G12" s="305">
        <f>+'DETALLE APORTES'!F12</f>
        <v>3757801</v>
      </c>
      <c r="H12" s="151"/>
      <c r="I12" s="155" t="str">
        <f>IF(E12+F12+G12=0,"Este Sub-Item debe contemplar Financiamiento","")</f>
        <v/>
      </c>
      <c r="K12" s="394"/>
      <c r="L12" s="394"/>
      <c r="M12" s="394"/>
      <c r="N12" s="394"/>
    </row>
    <row r="13" spans="1:15" s="135" customFormat="1" ht="15.75" customHeight="1" thickBot="1">
      <c r="A13" s="143"/>
      <c r="B13" s="143"/>
      <c r="C13" s="144"/>
      <c r="D13" s="151"/>
      <c r="E13" s="156"/>
      <c r="F13" s="157"/>
      <c r="G13" s="157"/>
      <c r="H13" s="151"/>
      <c r="I13" s="147"/>
      <c r="K13" s="394" t="s">
        <v>86</v>
      </c>
      <c r="L13" s="394"/>
      <c r="M13" s="394"/>
      <c r="N13" s="394"/>
    </row>
    <row r="14" spans="1:15" s="135" customFormat="1" ht="31.9" customHeight="1">
      <c r="A14" s="143"/>
      <c r="B14" s="143"/>
      <c r="C14" s="407"/>
      <c r="D14" s="311" t="s">
        <v>71</v>
      </c>
      <c r="E14" s="402" t="s">
        <v>81</v>
      </c>
      <c r="F14" s="305">
        <f>+'DETALLE APORTES'!E13</f>
        <v>29527300</v>
      </c>
      <c r="G14" s="305">
        <f>+'DETALLE APORTES'!F13</f>
        <v>2180000</v>
      </c>
      <c r="H14" s="151"/>
      <c r="I14" s="147"/>
      <c r="J14" s="158"/>
      <c r="K14" s="394"/>
      <c r="L14" s="394"/>
      <c r="M14" s="394"/>
      <c r="N14" s="394"/>
    </row>
    <row r="15" spans="1:15" s="135" customFormat="1" ht="31.9" customHeight="1">
      <c r="A15" s="143"/>
      <c r="B15" s="143"/>
      <c r="C15" s="407"/>
      <c r="D15" s="312" t="s">
        <v>87</v>
      </c>
      <c r="E15" s="402"/>
      <c r="F15" s="305">
        <f>+'DETALLE APORTES'!E14</f>
        <v>0</v>
      </c>
      <c r="G15" s="305">
        <f>+'DETALLE APORTES'!F14</f>
        <v>64249544</v>
      </c>
      <c r="H15" s="151"/>
      <c r="I15" s="147"/>
      <c r="J15" s="158"/>
      <c r="K15" s="394"/>
      <c r="L15" s="394"/>
      <c r="M15" s="394"/>
      <c r="N15" s="394"/>
    </row>
    <row r="16" spans="1:15" s="135" customFormat="1" ht="31.9" customHeight="1" thickBot="1">
      <c r="A16" s="143"/>
      <c r="B16" s="143"/>
      <c r="C16" s="407"/>
      <c r="D16" s="313" t="s">
        <v>88</v>
      </c>
      <c r="E16" s="403"/>
      <c r="F16" s="305">
        <f>+'DETALLE APORTES'!E15</f>
        <v>0</v>
      </c>
      <c r="G16" s="305">
        <f>+'DETALLE APORTES'!F15</f>
        <v>24121422</v>
      </c>
      <c r="H16" s="151"/>
      <c r="I16" s="159"/>
      <c r="K16" s="394"/>
      <c r="L16" s="394"/>
      <c r="M16" s="394"/>
      <c r="N16" s="394"/>
    </row>
    <row r="17" spans="1:20" s="135" customFormat="1" ht="15.75" customHeight="1" thickTop="1">
      <c r="A17" s="143"/>
      <c r="B17" s="143"/>
      <c r="C17" s="144"/>
      <c r="D17" s="151"/>
      <c r="E17" s="160"/>
      <c r="F17" s="161"/>
      <c r="G17" s="160"/>
      <c r="H17" s="151"/>
      <c r="I17" s="147"/>
    </row>
    <row r="18" spans="1:20" s="135" customFormat="1" ht="112.5" customHeight="1">
      <c r="A18" s="143"/>
      <c r="B18" s="143"/>
      <c r="C18" s="144"/>
      <c r="D18" s="162" t="str">
        <f>IF(E23+F23+G23=0,"","VERIFICACION DE APORTES")</f>
        <v>VERIFICACION DE APORTES</v>
      </c>
      <c r="E18" s="163" t="str">
        <f>IF(OR(E23=0,(E7+E8+F7+F8)&lt;50000000)," ",IF(SUM(E9:E12)&gt;((E7+E8)*0.5),"Total B. Traslados e Instalación no puede ser Mayor al 50% de A. Equipamiento.-",IF(SUM(E7:E12)&lt;=400000000,"Aporte Solicitado a FONDEQUIP OK",IF(SUM(E7:E12)&gt;400000000,"Monto solicitado a FONDEQUIP excede el Máximo a financiar por Proyecto",""))))</f>
        <v>Aporte Solicitado a FONDEQUIP OK</v>
      </c>
      <c r="F18" s="163" t="str">
        <f>IF($E$29=0,"",IF(F7+F8+F9+F11+F12+F14&gt;=$E$25*10%,"Aporte Pecuniario OK","Aporte Pecuniario debe ser equivalente a, al menos, el 10% de A. Equipamiento.-"))</f>
        <v>Aporte Pecuniario OK</v>
      </c>
      <c r="G18" s="164" t="str">
        <f>IF($E$29=0," ",IF(SUM(G10+G11+G12+G14+G15+G16+F7+F8+F9+F10+F11+F12+F14+F15+F16)&gt;=$E$25*50%,"Aporte No Pecuniario OK",IF(SUM(G10+G11+G12+G14+G15+G16+F7+F8+F9+F10+F11+F12+F14+F15+F16)&lt;$E$25*50%,"Aporte No Pecuniario debe ser, al menos, el equivalente al porcentaje no financiado con Aporte Pecuniario para cumplir con el mínimo correspondiente al 50% de A. Equipamiento.-")))</f>
        <v>Aporte No Pecuniario OK</v>
      </c>
      <c r="H18" s="165"/>
      <c r="I18" s="159"/>
      <c r="P18" s="135">
        <f>IF(I12="Este Sub Item debe Contemplar Financiamiento",1,0)</f>
        <v>0</v>
      </c>
      <c r="Q18" s="135">
        <f>IF(E18="Aporte Solicitado a CONICYT OK",1,0)</f>
        <v>0</v>
      </c>
      <c r="R18" s="135">
        <f>IF(F18="Aporte Pecuniario Universidad OK",1,0)</f>
        <v>0</v>
      </c>
      <c r="S18" s="135">
        <f>IF(G18="Aporte No Pecuniario OK",1,0)</f>
        <v>1</v>
      </c>
      <c r="T18" s="135">
        <f>S18+R18+Q18+P18</f>
        <v>1</v>
      </c>
    </row>
    <row r="19" spans="1:20" s="135" customFormat="1" ht="8.25" customHeight="1" thickBot="1">
      <c r="A19" s="143"/>
      <c r="B19" s="143"/>
      <c r="C19" s="144"/>
      <c r="D19" s="166"/>
      <c r="E19" s="154"/>
      <c r="F19" s="151"/>
      <c r="G19" s="151"/>
      <c r="H19" s="151"/>
      <c r="I19" s="159"/>
    </row>
    <row r="20" spans="1:20" s="135" customFormat="1" ht="39.75" customHeight="1">
      <c r="A20" s="143"/>
      <c r="B20" s="143"/>
      <c r="C20" s="167"/>
      <c r="D20" s="389" t="s">
        <v>89</v>
      </c>
      <c r="E20" s="390"/>
      <c r="F20" s="390"/>
      <c r="G20" s="391"/>
      <c r="H20" s="168"/>
      <c r="I20" s="169"/>
    </row>
    <row r="21" spans="1:20" s="135" customFormat="1" ht="14.25"/>
    <row r="22" spans="1:20" s="135" customFormat="1" ht="12.75" customHeight="1"/>
    <row r="23" spans="1:20" s="135" customFormat="1" ht="23.25" customHeight="1">
      <c r="D23" s="316" t="s">
        <v>90</v>
      </c>
      <c r="E23" s="317">
        <f>SUM(E7:E16)</f>
        <v>393934904.57999998</v>
      </c>
      <c r="F23" s="318">
        <f>SUM(F7:F16)</f>
        <v>117937788</v>
      </c>
      <c r="G23" s="315">
        <f>SUM(G7:G16)</f>
        <v>94308767</v>
      </c>
    </row>
    <row r="24" spans="1:20" s="135" customFormat="1" ht="23.25" customHeight="1">
      <c r="E24" s="136"/>
      <c r="F24" s="136"/>
      <c r="G24" s="136"/>
    </row>
    <row r="25" spans="1:20" s="135" customFormat="1" ht="23.25" customHeight="1">
      <c r="D25" s="314" t="s">
        <v>91</v>
      </c>
      <c r="E25" s="315">
        <f>'I.- EQUIPAMIENTO'!E9+'I.- EQUIPAMIENTO'!E10</f>
        <v>323887735</v>
      </c>
      <c r="F25" s="137" t="str">
        <f>IF(AND(E25&gt;0,E25&lt;50000000),"El Monto Mínimo debe ser $50.000.000.-"," ")</f>
        <v xml:space="preserve"> </v>
      </c>
      <c r="G25" s="136"/>
    </row>
    <row r="26" spans="1:20" s="135" customFormat="1" ht="23.25" customHeight="1">
      <c r="D26" s="135" t="s">
        <v>92</v>
      </c>
      <c r="E26" s="136">
        <f>E25*0.5</f>
        <v>161943867.5</v>
      </c>
      <c r="F26" s="136"/>
      <c r="G26" s="136"/>
    </row>
    <row r="27" spans="1:20" s="135" customFormat="1" ht="26.25" customHeight="1">
      <c r="D27" s="314" t="s">
        <v>93</v>
      </c>
      <c r="E27" s="315">
        <f>SUM(F23:G23)</f>
        <v>212246555</v>
      </c>
      <c r="F27" s="138">
        <f>+E27-E26</f>
        <v>50302687.5</v>
      </c>
      <c r="G27" s="139"/>
    </row>
    <row r="28" spans="1:20" s="135" customFormat="1" ht="26.25" customHeight="1">
      <c r="E28" s="136"/>
      <c r="F28" s="136"/>
      <c r="G28" s="136"/>
    </row>
    <row r="29" spans="1:20" s="135" customFormat="1" ht="23.25" customHeight="1">
      <c r="D29" s="314" t="s">
        <v>94</v>
      </c>
      <c r="E29" s="315">
        <f>+'I.- EQUIPAMIENTO'!E25</f>
        <v>323887735</v>
      </c>
      <c r="F29" s="140">
        <f>+E29*0.5</f>
        <v>161943867.5</v>
      </c>
      <c r="G29" s="136"/>
    </row>
    <row r="30" spans="1:20" s="135" customFormat="1" ht="23.25" customHeight="1">
      <c r="D30" s="135" t="s">
        <v>95</v>
      </c>
      <c r="E30" s="141">
        <f>+IF($F$29&gt;$F$30,$F$30,$F$29)</f>
        <v>76112265</v>
      </c>
      <c r="F30" s="140">
        <f>400000000-E29</f>
        <v>76112265</v>
      </c>
      <c r="G30" s="136"/>
    </row>
    <row r="31" spans="1:20" s="135" customFormat="1" ht="23.25" customHeight="1">
      <c r="D31" s="314" t="s">
        <v>96</v>
      </c>
      <c r="E31" s="315">
        <f>SUM($E$9:$E$12)</f>
        <v>70047169.579999998</v>
      </c>
      <c r="F31" s="138">
        <f>+E31-E30</f>
        <v>-6065095.4200000018</v>
      </c>
      <c r="G31" s="136"/>
    </row>
    <row r="32" spans="1:20" s="135" customFormat="1" ht="27" customHeight="1">
      <c r="D32" s="135" t="s">
        <v>97</v>
      </c>
      <c r="E32" s="142">
        <f>+IF(E29&gt;0,E31/E29,0)</f>
        <v>0.21626990469398294</v>
      </c>
    </row>
  </sheetData>
  <sheetProtection algorithmName="SHA-512" hashValue="a6/ECccr4XVNjqM/z8y0kaMuy7sKShIB/UoFg/+KzZK81VHglBMJikfhNc/O0B4s2pE3DSFkDJgO110+M/EsXg==" saltValue="mWaop9wVN6gtnnlQFvGtRg==" spinCount="100000" sheet="1" objects="1" scenarios="1"/>
  <mergeCells count="13">
    <mergeCell ref="D2:I2"/>
    <mergeCell ref="G7:G9"/>
    <mergeCell ref="E14:E16"/>
    <mergeCell ref="F5:G5"/>
    <mergeCell ref="C9:C12"/>
    <mergeCell ref="C14:C16"/>
    <mergeCell ref="D20:G20"/>
    <mergeCell ref="E5:E6"/>
    <mergeCell ref="K6:N8"/>
    <mergeCell ref="K9:N10"/>
    <mergeCell ref="K11:N12"/>
    <mergeCell ref="K13:N16"/>
    <mergeCell ref="K5:N5"/>
  </mergeCells>
  <conditionalFormatting sqref="D18">
    <cfRule type="containsText" dxfId="74" priority="12" stopIfTrue="1" operator="containsText" text="VERIFICACION ">
      <formula>NOT(ISERROR(SEARCH("VERIFICACION ",D18)))</formula>
    </cfRule>
  </conditionalFormatting>
  <conditionalFormatting sqref="E18">
    <cfRule type="containsText" dxfId="73" priority="10" stopIfTrue="1" operator="containsText" text="excede el Máximo">
      <formula>NOT(ISERROR(SEARCH("excede el Máximo",E18)))</formula>
    </cfRule>
    <cfRule type="containsText" dxfId="72" priority="11" stopIfTrue="1" operator="containsText" text="no puede ser Mayor">
      <formula>NOT(ISERROR(SEARCH("no puede ser Mayor",E18)))</formula>
    </cfRule>
  </conditionalFormatting>
  <conditionalFormatting sqref="E25">
    <cfRule type="cellIs" dxfId="71" priority="3" operator="lessThan">
      <formula>50000000</formula>
    </cfRule>
  </conditionalFormatting>
  <conditionalFormatting sqref="E30">
    <cfRule type="cellIs" dxfId="70" priority="13" stopIfTrue="1" operator="lessThan">
      <formula>0</formula>
    </cfRule>
  </conditionalFormatting>
  <conditionalFormatting sqref="E32">
    <cfRule type="cellIs" dxfId="69" priority="22" stopIfTrue="1" operator="greaterThan">
      <formula>0.5</formula>
    </cfRule>
  </conditionalFormatting>
  <conditionalFormatting sqref="E8:F8">
    <cfRule type="cellIs" dxfId="68" priority="1" operator="lessThan">
      <formula>0</formula>
    </cfRule>
  </conditionalFormatting>
  <conditionalFormatting sqref="E18:G18">
    <cfRule type="containsText" dxfId="67" priority="6" stopIfTrue="1" operator="containsText" text="OK">
      <formula>NOT(ISERROR(SEARCH("OK",E18)))</formula>
    </cfRule>
  </conditionalFormatting>
  <conditionalFormatting sqref="F18">
    <cfRule type="containsText" dxfId="66" priority="8" stopIfTrue="1" operator="containsText" text="debe ser ">
      <formula>NOT(ISERROR(SEARCH("debe ser ",F18)))</formula>
    </cfRule>
  </conditionalFormatting>
  <conditionalFormatting sqref="F27">
    <cfRule type="cellIs" dxfId="65" priority="23" stopIfTrue="1" operator="lessThan">
      <formula>0</formula>
    </cfRule>
  </conditionalFormatting>
  <conditionalFormatting sqref="F31">
    <cfRule type="cellIs" dxfId="64" priority="2" stopIfTrue="1" operator="greaterThan">
      <formula>0</formula>
    </cfRule>
  </conditionalFormatting>
  <conditionalFormatting sqref="G18">
    <cfRule type="containsText" dxfId="63" priority="5" stopIfTrue="1" operator="containsText" text="debe ser">
      <formula>NOT(ISERROR(SEARCH("debe ser",G18)))</formula>
    </cfRule>
  </conditionalFormatting>
  <conditionalFormatting sqref="I12">
    <cfRule type="containsText" dxfId="62" priority="4" stopIfTrue="1" operator="containsText" text="Contemplar">
      <formula>NOT(ISERROR(SEARCH("Contemplar",I12)))</formula>
    </cfRule>
  </conditionalFormatting>
  <printOptions horizontalCentered="1"/>
  <pageMargins left="0" right="0" top="0.78740157480314965" bottom="0.78740157480314965" header="0" footer="0.59055118110236227"/>
  <pageSetup scale="75" orientation="landscape" r:id="rId1"/>
  <headerFooter alignWithMargins="0">
    <oddFooter>&amp;L&amp;A - &amp;F
&amp;D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7"/>
  <sheetViews>
    <sheetView showGridLines="0" zoomScale="80" zoomScaleNormal="80" workbookViewId="0">
      <pane xSplit="6" ySplit="6" topLeftCell="G7" activePane="bottomRight" state="frozen"/>
      <selection pane="bottomRight" activeCell="G13" sqref="G13"/>
      <selection pane="bottomLeft" activeCell="A7" sqref="A7"/>
      <selection pane="topRight" activeCell="G1" sqref="G1"/>
    </sheetView>
  </sheetViews>
  <sheetFormatPr defaultColWidth="11.42578125" defaultRowHeight="15"/>
  <cols>
    <col min="1" max="1" width="6.7109375" style="82" customWidth="1"/>
    <col min="2" max="2" width="5.140625" style="82" customWidth="1"/>
    <col min="3" max="3" width="16.42578125" style="82" customWidth="1"/>
    <col min="4" max="4" width="35.5703125" style="82" customWidth="1"/>
    <col min="5" max="18" width="18.7109375" style="82" customWidth="1"/>
    <col min="19" max="19" width="9.42578125" style="82" customWidth="1"/>
    <col min="20" max="16384" width="11.42578125" style="82"/>
  </cols>
  <sheetData>
    <row r="1" spans="1:18" s="112" customFormat="1" ht="28.15" customHeight="1">
      <c r="A1" s="110"/>
      <c r="B1" s="410" t="s">
        <v>98</v>
      </c>
      <c r="C1" s="411"/>
      <c r="D1" s="411"/>
      <c r="E1" s="411"/>
      <c r="F1" s="411"/>
      <c r="G1" s="411"/>
      <c r="H1" s="411"/>
      <c r="I1" s="411"/>
      <c r="J1" s="411"/>
      <c r="K1" s="411"/>
      <c r="L1" s="411"/>
      <c r="M1" s="411"/>
      <c r="N1" s="411"/>
      <c r="O1" s="411"/>
      <c r="P1" s="411"/>
      <c r="Q1" s="111"/>
      <c r="R1" s="111"/>
    </row>
    <row r="2" spans="1:18" hidden="1">
      <c r="A2" s="92"/>
      <c r="B2" s="414"/>
      <c r="C2" s="414"/>
      <c r="D2" s="414"/>
      <c r="E2" s="414"/>
      <c r="F2" s="414"/>
      <c r="G2" s="414"/>
      <c r="H2" s="414"/>
      <c r="I2" s="93"/>
      <c r="J2" s="93"/>
      <c r="K2" s="93"/>
      <c r="L2" s="93"/>
      <c r="M2" s="93"/>
      <c r="N2" s="93"/>
      <c r="O2" s="93"/>
      <c r="P2" s="93"/>
      <c r="Q2" s="93"/>
      <c r="R2" s="93"/>
    </row>
    <row r="3" spans="1:18" ht="9" customHeight="1" thickBot="1">
      <c r="A3" s="92"/>
      <c r="B3" s="415"/>
      <c r="C3" s="416"/>
      <c r="D3" s="416"/>
      <c r="E3" s="416"/>
      <c r="F3" s="416"/>
      <c r="G3" s="416"/>
      <c r="H3" s="416"/>
      <c r="I3" s="106"/>
      <c r="J3" s="106"/>
      <c r="K3" s="106"/>
      <c r="L3" s="106"/>
      <c r="M3" s="106"/>
      <c r="N3" s="106"/>
      <c r="O3" s="106"/>
      <c r="P3" s="106"/>
      <c r="Q3" s="106"/>
      <c r="R3" s="106"/>
    </row>
    <row r="4" spans="1:18" ht="13.5" hidden="1" customHeight="1" thickBot="1">
      <c r="A4" s="92"/>
      <c r="B4" s="92"/>
      <c r="C4" s="92"/>
      <c r="D4" s="92"/>
      <c r="E4" s="92"/>
      <c r="F4" s="92"/>
      <c r="G4" s="92"/>
      <c r="H4" s="94"/>
      <c r="I4" s="92"/>
      <c r="J4" s="94"/>
      <c r="K4" s="92"/>
      <c r="L4" s="94"/>
      <c r="M4" s="92"/>
      <c r="N4" s="94"/>
      <c r="O4" s="92"/>
      <c r="P4" s="94"/>
      <c r="Q4" s="92"/>
      <c r="R4" s="94"/>
    </row>
    <row r="5" spans="1:18" ht="28.9" customHeight="1" thickBot="1">
      <c r="A5" s="92"/>
      <c r="B5" s="417"/>
      <c r="C5" s="418"/>
      <c r="D5" s="419"/>
      <c r="E5" s="428" t="s">
        <v>99</v>
      </c>
      <c r="F5" s="429"/>
      <c r="G5" s="408" t="s">
        <v>100</v>
      </c>
      <c r="H5" s="409"/>
      <c r="I5" s="408" t="s">
        <v>101</v>
      </c>
      <c r="J5" s="409"/>
      <c r="K5" s="408" t="s">
        <v>102</v>
      </c>
      <c r="L5" s="409"/>
      <c r="M5" s="408" t="s">
        <v>103</v>
      </c>
      <c r="N5" s="409"/>
      <c r="O5" s="408" t="s">
        <v>104</v>
      </c>
      <c r="P5" s="409"/>
      <c r="Q5" s="408" t="s">
        <v>105</v>
      </c>
      <c r="R5" s="409"/>
    </row>
    <row r="6" spans="1:18" ht="25.5" customHeight="1" thickBot="1">
      <c r="A6" s="95" t="s">
        <v>106</v>
      </c>
      <c r="B6" s="420" t="s">
        <v>107</v>
      </c>
      <c r="C6" s="421"/>
      <c r="D6" s="96" t="s">
        <v>108</v>
      </c>
      <c r="E6" s="97" t="s">
        <v>109</v>
      </c>
      <c r="F6" s="98" t="s">
        <v>110</v>
      </c>
      <c r="G6" s="97" t="s">
        <v>109</v>
      </c>
      <c r="H6" s="98" t="s">
        <v>110</v>
      </c>
      <c r="I6" s="97" t="s">
        <v>109</v>
      </c>
      <c r="J6" s="98" t="s">
        <v>110</v>
      </c>
      <c r="K6" s="97" t="s">
        <v>109</v>
      </c>
      <c r="L6" s="98" t="s">
        <v>110</v>
      </c>
      <c r="M6" s="97" t="s">
        <v>109</v>
      </c>
      <c r="N6" s="98" t="s">
        <v>110</v>
      </c>
      <c r="O6" s="97" t="s">
        <v>109</v>
      </c>
      <c r="P6" s="98" t="s">
        <v>110</v>
      </c>
      <c r="Q6" s="97" t="s">
        <v>109</v>
      </c>
      <c r="R6" s="98" t="s">
        <v>110</v>
      </c>
    </row>
    <row r="7" spans="1:18" ht="39.75" customHeight="1" thickBot="1">
      <c r="A7" s="412" t="s">
        <v>111</v>
      </c>
      <c r="B7" s="422" t="s">
        <v>112</v>
      </c>
      <c r="C7" s="424" t="s">
        <v>111</v>
      </c>
      <c r="D7" s="266" t="s">
        <v>80</v>
      </c>
      <c r="E7" s="99">
        <f>+G7+I7+K7+M7+O7+Q7</f>
        <v>0</v>
      </c>
      <c r="F7" s="107"/>
      <c r="G7" s="262">
        <f>+'I.- EQUIPAMIENTO'!E16</f>
        <v>0</v>
      </c>
      <c r="H7" s="107"/>
      <c r="I7" s="262">
        <v>0</v>
      </c>
      <c r="J7" s="107"/>
      <c r="K7" s="262">
        <v>0</v>
      </c>
      <c r="L7" s="107"/>
      <c r="M7" s="262">
        <v>0</v>
      </c>
      <c r="N7" s="107"/>
      <c r="O7" s="262">
        <v>0</v>
      </c>
      <c r="P7" s="107"/>
      <c r="Q7" s="262">
        <v>0</v>
      </c>
      <c r="R7" s="107"/>
    </row>
    <row r="8" spans="1:18" ht="39.75" customHeight="1" thickBot="1">
      <c r="A8" s="412"/>
      <c r="B8" s="423"/>
      <c r="C8" s="425"/>
      <c r="D8" s="267" t="s">
        <v>32</v>
      </c>
      <c r="E8" s="99">
        <f t="shared" ref="E8:E15" si="0">+G8+I8+K8+M8+O8+Q8</f>
        <v>0</v>
      </c>
      <c r="F8" s="108"/>
      <c r="G8" s="262">
        <f>+'I.- EQUIPAMIENTO'!E17</f>
        <v>0</v>
      </c>
      <c r="H8" s="108"/>
      <c r="I8" s="262">
        <v>0</v>
      </c>
      <c r="J8" s="108"/>
      <c r="K8" s="262">
        <v>0</v>
      </c>
      <c r="L8" s="108"/>
      <c r="M8" s="262">
        <v>0</v>
      </c>
      <c r="N8" s="108"/>
      <c r="O8" s="262">
        <v>0</v>
      </c>
      <c r="P8" s="108"/>
      <c r="Q8" s="262">
        <v>0</v>
      </c>
      <c r="R8" s="108"/>
    </row>
    <row r="9" spans="1:18" ht="39.75" customHeight="1" thickBot="1">
      <c r="A9" s="412"/>
      <c r="B9" s="423" t="s">
        <v>113</v>
      </c>
      <c r="C9" s="425" t="s">
        <v>114</v>
      </c>
      <c r="D9" s="267" t="s">
        <v>68</v>
      </c>
      <c r="E9" s="99">
        <f t="shared" si="0"/>
        <v>75410488</v>
      </c>
      <c r="F9" s="108"/>
      <c r="G9" s="262">
        <f>+'I.- EQUIPAMIENTO'!E18</f>
        <v>75410488</v>
      </c>
      <c r="H9" s="108"/>
      <c r="I9" s="262">
        <v>0</v>
      </c>
      <c r="J9" s="108"/>
      <c r="K9" s="262">
        <v>0</v>
      </c>
      <c r="L9" s="108"/>
      <c r="M9" s="262">
        <v>0</v>
      </c>
      <c r="N9" s="108"/>
      <c r="O9" s="262">
        <v>0</v>
      </c>
      <c r="P9" s="108"/>
      <c r="Q9" s="262">
        <v>0</v>
      </c>
      <c r="R9" s="108"/>
    </row>
    <row r="10" spans="1:18" ht="39.75" customHeight="1" thickBot="1">
      <c r="A10" s="412"/>
      <c r="B10" s="423"/>
      <c r="C10" s="425"/>
      <c r="D10" s="267" t="s">
        <v>84</v>
      </c>
      <c r="E10" s="99">
        <f t="shared" si="0"/>
        <v>10000000</v>
      </c>
      <c r="F10" s="99">
        <f t="shared" ref="F10:F15" si="1">+H10+J10+L10+N10+P10+R10</f>
        <v>0</v>
      </c>
      <c r="G10" s="262">
        <v>10000000</v>
      </c>
      <c r="H10" s="264">
        <v>0</v>
      </c>
      <c r="I10" s="262">
        <v>0</v>
      </c>
      <c r="J10" s="264">
        <v>0</v>
      </c>
      <c r="K10" s="262">
        <v>0</v>
      </c>
      <c r="L10" s="264">
        <v>0</v>
      </c>
      <c r="M10" s="262">
        <v>0</v>
      </c>
      <c r="N10" s="264">
        <v>0</v>
      </c>
      <c r="O10" s="262">
        <v>0</v>
      </c>
      <c r="P10" s="264">
        <v>0</v>
      </c>
      <c r="Q10" s="262">
        <v>0</v>
      </c>
      <c r="R10" s="264">
        <v>0</v>
      </c>
    </row>
    <row r="11" spans="1:18" ht="39.75" customHeight="1" thickBot="1">
      <c r="A11" s="412"/>
      <c r="B11" s="423"/>
      <c r="C11" s="425"/>
      <c r="D11" s="267" t="s">
        <v>69</v>
      </c>
      <c r="E11" s="99">
        <f t="shared" si="0"/>
        <v>3000000</v>
      </c>
      <c r="F11" s="99">
        <f>+H11+J11+L11+N11+P11+R11</f>
        <v>0</v>
      </c>
      <c r="G11" s="262">
        <f>+'I.- EQUIPAMIENTO'!E19</f>
        <v>3000000</v>
      </c>
      <c r="H11" s="264">
        <v>0</v>
      </c>
      <c r="I11" s="262">
        <v>0</v>
      </c>
      <c r="J11" s="264">
        <v>0</v>
      </c>
      <c r="K11" s="262">
        <v>0</v>
      </c>
      <c r="L11" s="264">
        <v>0</v>
      </c>
      <c r="M11" s="262">
        <v>0</v>
      </c>
      <c r="N11" s="264">
        <v>0</v>
      </c>
      <c r="O11" s="262">
        <v>0</v>
      </c>
      <c r="P11" s="264">
        <v>0</v>
      </c>
      <c r="Q11" s="262">
        <v>0</v>
      </c>
      <c r="R11" s="264">
        <v>0</v>
      </c>
    </row>
    <row r="12" spans="1:18" ht="39.75" customHeight="1" thickBot="1">
      <c r="A12" s="412"/>
      <c r="B12" s="423"/>
      <c r="C12" s="425"/>
      <c r="D12" s="267" t="s">
        <v>70</v>
      </c>
      <c r="E12" s="99">
        <f t="shared" si="0"/>
        <v>0</v>
      </c>
      <c r="F12" s="99">
        <f t="shared" si="1"/>
        <v>3757801</v>
      </c>
      <c r="G12" s="262">
        <f>+'I.- EQUIPAMIENTO'!E20</f>
        <v>0</v>
      </c>
      <c r="H12" s="264">
        <v>3757801</v>
      </c>
      <c r="I12" s="262">
        <v>0</v>
      </c>
      <c r="J12" s="264">
        <v>0</v>
      </c>
      <c r="K12" s="262">
        <v>0</v>
      </c>
      <c r="L12" s="264">
        <v>0</v>
      </c>
      <c r="M12" s="262">
        <v>0</v>
      </c>
      <c r="N12" s="264">
        <v>0</v>
      </c>
      <c r="O12" s="262">
        <v>0</v>
      </c>
      <c r="P12" s="264">
        <v>0</v>
      </c>
      <c r="Q12" s="262">
        <v>0</v>
      </c>
      <c r="R12" s="264">
        <v>0</v>
      </c>
    </row>
    <row r="13" spans="1:18" ht="34.5" customHeight="1" thickBot="1">
      <c r="A13" s="412" t="s">
        <v>115</v>
      </c>
      <c r="B13" s="423" t="s">
        <v>116</v>
      </c>
      <c r="C13" s="425" t="s">
        <v>117</v>
      </c>
      <c r="D13" s="267" t="s">
        <v>71</v>
      </c>
      <c r="E13" s="99">
        <f t="shared" si="0"/>
        <v>29527300</v>
      </c>
      <c r="F13" s="99">
        <f t="shared" si="1"/>
        <v>2180000</v>
      </c>
      <c r="G13" s="262">
        <f>+'I.- EQUIPAMIENTO'!E21</f>
        <v>29527300</v>
      </c>
      <c r="H13" s="264">
        <v>2180000</v>
      </c>
      <c r="I13" s="262">
        <v>0</v>
      </c>
      <c r="J13" s="264">
        <v>0</v>
      </c>
      <c r="K13" s="262">
        <v>0</v>
      </c>
      <c r="L13" s="264">
        <v>0</v>
      </c>
      <c r="M13" s="262">
        <v>0</v>
      </c>
      <c r="N13" s="264">
        <v>0</v>
      </c>
      <c r="O13" s="262">
        <v>0</v>
      </c>
      <c r="P13" s="264">
        <v>0</v>
      </c>
      <c r="Q13" s="262">
        <v>0</v>
      </c>
      <c r="R13" s="264">
        <v>0</v>
      </c>
    </row>
    <row r="14" spans="1:18" ht="36" customHeight="1" thickBot="1">
      <c r="A14" s="412"/>
      <c r="B14" s="430"/>
      <c r="C14" s="432"/>
      <c r="D14" s="267" t="s">
        <v>87</v>
      </c>
      <c r="E14" s="99">
        <f t="shared" si="0"/>
        <v>0</v>
      </c>
      <c r="F14" s="99">
        <f t="shared" si="1"/>
        <v>64249544</v>
      </c>
      <c r="G14" s="262">
        <v>0</v>
      </c>
      <c r="H14" s="264">
        <v>64249544</v>
      </c>
      <c r="I14" s="262">
        <v>0</v>
      </c>
      <c r="J14" s="264">
        <v>0</v>
      </c>
      <c r="K14" s="262">
        <v>0</v>
      </c>
      <c r="L14" s="264">
        <v>0</v>
      </c>
      <c r="M14" s="262">
        <v>0</v>
      </c>
      <c r="N14" s="264">
        <v>0</v>
      </c>
      <c r="O14" s="262">
        <v>0</v>
      </c>
      <c r="P14" s="264">
        <v>0</v>
      </c>
      <c r="Q14" s="262">
        <v>0</v>
      </c>
      <c r="R14" s="264">
        <v>0</v>
      </c>
    </row>
    <row r="15" spans="1:18" ht="36" customHeight="1" thickBot="1">
      <c r="A15" s="413"/>
      <c r="B15" s="431"/>
      <c r="C15" s="433"/>
      <c r="D15" s="268" t="s">
        <v>118</v>
      </c>
      <c r="E15" s="99">
        <f t="shared" si="0"/>
        <v>0</v>
      </c>
      <c r="F15" s="99">
        <f t="shared" si="1"/>
        <v>24121422</v>
      </c>
      <c r="G15" s="263">
        <v>0</v>
      </c>
      <c r="H15" s="265">
        <v>24121422</v>
      </c>
      <c r="I15" s="263">
        <v>0</v>
      </c>
      <c r="J15" s="265">
        <v>0</v>
      </c>
      <c r="K15" s="263">
        <v>0</v>
      </c>
      <c r="L15" s="265">
        <v>0</v>
      </c>
      <c r="M15" s="263">
        <v>0</v>
      </c>
      <c r="N15" s="265">
        <v>0</v>
      </c>
      <c r="O15" s="263">
        <v>0</v>
      </c>
      <c r="P15" s="265">
        <v>0</v>
      </c>
      <c r="Q15" s="263">
        <v>0</v>
      </c>
      <c r="R15" s="265">
        <v>0</v>
      </c>
    </row>
    <row r="16" spans="1:18" ht="40.9" customHeight="1" thickBot="1">
      <c r="A16" s="92"/>
      <c r="B16" s="426"/>
      <c r="C16" s="427"/>
      <c r="D16" s="101" t="s">
        <v>90</v>
      </c>
      <c r="E16" s="102">
        <f t="shared" ref="E16:P16" si="2">SUM(E7:E15)</f>
        <v>117937788</v>
      </c>
      <c r="F16" s="102">
        <f t="shared" si="2"/>
        <v>94308767</v>
      </c>
      <c r="G16" s="102">
        <f>SUM(G7:G15)</f>
        <v>117937788</v>
      </c>
      <c r="H16" s="103">
        <f t="shared" si="2"/>
        <v>94308767</v>
      </c>
      <c r="I16" s="102">
        <f t="shared" si="2"/>
        <v>0</v>
      </c>
      <c r="J16" s="103">
        <f t="shared" si="2"/>
        <v>0</v>
      </c>
      <c r="K16" s="102">
        <f t="shared" si="2"/>
        <v>0</v>
      </c>
      <c r="L16" s="103">
        <f t="shared" si="2"/>
        <v>0</v>
      </c>
      <c r="M16" s="102">
        <f t="shared" si="2"/>
        <v>0</v>
      </c>
      <c r="N16" s="103">
        <f t="shared" si="2"/>
        <v>0</v>
      </c>
      <c r="O16" s="102">
        <f t="shared" si="2"/>
        <v>0</v>
      </c>
      <c r="P16" s="103">
        <f t="shared" si="2"/>
        <v>0</v>
      </c>
      <c r="Q16" s="102">
        <f t="shared" ref="Q16:R16" si="3">SUM(Q7:Q15)</f>
        <v>0</v>
      </c>
      <c r="R16" s="103">
        <f t="shared" si="3"/>
        <v>0</v>
      </c>
    </row>
    <row r="17" spans="1:18">
      <c r="A17" s="92"/>
      <c r="B17" s="92"/>
      <c r="C17" s="92"/>
      <c r="D17" s="104"/>
      <c r="E17" s="92"/>
      <c r="F17" s="92"/>
      <c r="G17" s="105"/>
      <c r="H17" s="92"/>
      <c r="I17" s="105"/>
      <c r="J17" s="92"/>
      <c r="K17" s="105"/>
      <c r="L17" s="92"/>
      <c r="M17" s="105"/>
      <c r="N17" s="92"/>
      <c r="O17" s="105"/>
      <c r="P17" s="92"/>
      <c r="Q17" s="105"/>
      <c r="R17" s="92"/>
    </row>
  </sheetData>
  <sheetProtection algorithmName="SHA-512" hashValue="FCThNN7AmLQulaHdwkYSULrsUi3zuyLiWj4P1Gm7Pz5rnVnn2KEQL0GmUcM0SRThs/iJFulAeKidu0vGbx8IvQ==" saltValue="8nfIwnMgXkJkLC/h9Q2/aQ==" spinCount="100000" sheet="1"/>
  <mergeCells count="21">
    <mergeCell ref="B16:C16"/>
    <mergeCell ref="E5:F5"/>
    <mergeCell ref="I5:J5"/>
    <mergeCell ref="K5:L5"/>
    <mergeCell ref="M5:N5"/>
    <mergeCell ref="B13:B15"/>
    <mergeCell ref="C13:C15"/>
    <mergeCell ref="Q5:R5"/>
    <mergeCell ref="B1:P1"/>
    <mergeCell ref="A7:A12"/>
    <mergeCell ref="A13:A15"/>
    <mergeCell ref="B2:H2"/>
    <mergeCell ref="B3:H3"/>
    <mergeCell ref="B5:D5"/>
    <mergeCell ref="G5:H5"/>
    <mergeCell ref="B6:C6"/>
    <mergeCell ref="O5:P5"/>
    <mergeCell ref="B7:B8"/>
    <mergeCell ref="C7:C8"/>
    <mergeCell ref="B9:B12"/>
    <mergeCell ref="C9:C12"/>
  </mergeCells>
  <dataValidations count="1">
    <dataValidation operator="greaterThanOrEqual" allowBlank="1" showInputMessage="1" sqref="O7:O15 M7:M15 K7:K15 I7:I15 G7:G15 Q7:Q15" xr:uid="{00000000-0002-0000-0400-000000000000}"/>
  </dataValidations>
  <printOptions horizontalCentered="1"/>
  <pageMargins left="0" right="0" top="0.78740157480314965" bottom="0.78740157480314965" header="0" footer="0.59055118110236227"/>
  <pageSetup paperSize="119" scale="70" orientation="landscape" r:id="rId1"/>
  <headerFooter alignWithMargins="0">
    <oddFooter>&amp;L&amp;A - &amp;F
&amp;D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1:L23"/>
  <sheetViews>
    <sheetView showGridLines="0" zoomScale="90" zoomScaleNormal="90" workbookViewId="0">
      <selection activeCell="I16" sqref="I16"/>
    </sheetView>
  </sheetViews>
  <sheetFormatPr defaultColWidth="11.42578125" defaultRowHeight="14.25"/>
  <cols>
    <col min="1" max="1" width="4" style="135" customWidth="1"/>
    <col min="2" max="2" width="6.85546875" style="135" customWidth="1"/>
    <col min="3" max="3" width="4" style="135" customWidth="1"/>
    <col min="4" max="4" width="18.85546875" style="135" customWidth="1"/>
    <col min="5" max="5" width="41.42578125" style="135" customWidth="1"/>
    <col min="6" max="9" width="30" style="135" customWidth="1"/>
    <col min="10" max="10" width="3.42578125" style="135" customWidth="1"/>
    <col min="11" max="11" width="12.7109375" style="135" customWidth="1"/>
    <col min="12" max="12" width="17.42578125" style="135" customWidth="1"/>
    <col min="13" max="13" width="20.42578125" style="135" customWidth="1"/>
    <col min="14" max="14" width="16.5703125" style="135" customWidth="1"/>
    <col min="15" max="15" width="9.42578125" style="135" customWidth="1"/>
    <col min="16" max="16384" width="11.42578125" style="135"/>
  </cols>
  <sheetData>
    <row r="1" spans="2:12" s="253" customFormat="1" ht="28.15" customHeight="1">
      <c r="B1" s="437" t="s">
        <v>119</v>
      </c>
      <c r="C1" s="438"/>
      <c r="D1" s="438"/>
      <c r="E1" s="438"/>
      <c r="F1" s="438"/>
      <c r="G1" s="438"/>
      <c r="H1" s="438"/>
      <c r="I1" s="439"/>
      <c r="J1" s="252"/>
    </row>
    <row r="2" spans="2:12" hidden="1">
      <c r="B2" s="227"/>
      <c r="C2" s="449"/>
      <c r="D2" s="449"/>
      <c r="E2" s="449"/>
      <c r="F2" s="449"/>
      <c r="G2" s="449"/>
      <c r="H2" s="449"/>
      <c r="I2" s="449"/>
      <c r="J2" s="227"/>
    </row>
    <row r="3" spans="2:12" ht="9" customHeight="1" thickBot="1">
      <c r="B3" s="227"/>
      <c r="C3" s="452"/>
      <c r="D3" s="453"/>
      <c r="E3" s="453"/>
      <c r="F3" s="453"/>
      <c r="G3" s="453"/>
      <c r="H3" s="453"/>
      <c r="I3" s="453"/>
      <c r="J3" s="227"/>
    </row>
    <row r="4" spans="2:12" ht="13.5" hidden="1" customHeight="1" thickBot="1">
      <c r="B4" s="227"/>
      <c r="C4" s="227"/>
      <c r="D4" s="227"/>
      <c r="E4" s="227"/>
      <c r="F4" s="227"/>
      <c r="G4" s="227"/>
      <c r="H4" s="227"/>
      <c r="I4" s="228"/>
      <c r="J4" s="227"/>
    </row>
    <row r="5" spans="2:12" ht="30" customHeight="1" thickBot="1">
      <c r="B5" s="440" t="s">
        <v>120</v>
      </c>
      <c r="C5" s="441"/>
      <c r="D5" s="441"/>
      <c r="E5" s="441"/>
      <c r="F5" s="455" t="s">
        <v>121</v>
      </c>
      <c r="G5" s="450" t="s">
        <v>122</v>
      </c>
      <c r="H5" s="450" t="s">
        <v>123</v>
      </c>
      <c r="I5" s="454"/>
      <c r="J5" s="229"/>
    </row>
    <row r="6" spans="2:12" ht="22.9" customHeight="1" thickBot="1">
      <c r="B6" s="230" t="s">
        <v>106</v>
      </c>
      <c r="C6" s="459" t="s">
        <v>107</v>
      </c>
      <c r="D6" s="459"/>
      <c r="E6" s="231" t="s">
        <v>108</v>
      </c>
      <c r="F6" s="456"/>
      <c r="G6" s="451"/>
      <c r="H6" s="232" t="s">
        <v>109</v>
      </c>
      <c r="I6" s="233" t="s">
        <v>110</v>
      </c>
      <c r="J6" s="229"/>
    </row>
    <row r="7" spans="2:12" ht="32.450000000000003" customHeight="1">
      <c r="B7" s="434" t="s">
        <v>111</v>
      </c>
      <c r="C7" s="457" t="s">
        <v>112</v>
      </c>
      <c r="D7" s="458" t="s">
        <v>111</v>
      </c>
      <c r="E7" s="332" t="s">
        <v>80</v>
      </c>
      <c r="F7" s="234">
        <f>G7+H7</f>
        <v>321863735</v>
      </c>
      <c r="G7" s="327">
        <f>+'II TRASLADOS , INST. OPERACION'!E7</f>
        <v>321863735</v>
      </c>
      <c r="H7" s="327">
        <f>+'II TRASLADOS , INST. OPERACION'!F7</f>
        <v>0</v>
      </c>
      <c r="I7" s="235"/>
      <c r="J7" s="229"/>
      <c r="L7" s="236"/>
    </row>
    <row r="8" spans="2:12" ht="32.450000000000003" customHeight="1">
      <c r="B8" s="435"/>
      <c r="C8" s="447"/>
      <c r="D8" s="445"/>
      <c r="E8" s="333" t="s">
        <v>32</v>
      </c>
      <c r="F8" s="237">
        <f>G8+H8</f>
        <v>2024000</v>
      </c>
      <c r="G8" s="328">
        <f>+'II TRASLADOS , INST. OPERACION'!E8</f>
        <v>2024000</v>
      </c>
      <c r="H8" s="328">
        <f>+'II TRASLADOS , INST. OPERACION'!F8</f>
        <v>0</v>
      </c>
      <c r="I8" s="238"/>
      <c r="J8" s="229"/>
      <c r="L8" s="236"/>
    </row>
    <row r="9" spans="2:12" ht="32.450000000000003" customHeight="1">
      <c r="B9" s="435"/>
      <c r="C9" s="447" t="s">
        <v>113</v>
      </c>
      <c r="D9" s="445" t="s">
        <v>124</v>
      </c>
      <c r="E9" s="333" t="s">
        <v>68</v>
      </c>
      <c r="F9" s="237">
        <f>G9+H9</f>
        <v>145457657.57999998</v>
      </c>
      <c r="G9" s="328">
        <f>'II TRASLADOS , INST. OPERACION'!E9</f>
        <v>70047169.579999998</v>
      </c>
      <c r="H9" s="328">
        <f>+'II TRASLADOS , INST. OPERACION'!F9</f>
        <v>75410488</v>
      </c>
      <c r="I9" s="238"/>
      <c r="J9" s="229"/>
      <c r="L9" s="239"/>
    </row>
    <row r="10" spans="2:12" ht="32.450000000000003" customHeight="1">
      <c r="B10" s="435"/>
      <c r="C10" s="447"/>
      <c r="D10" s="445"/>
      <c r="E10" s="333" t="s">
        <v>84</v>
      </c>
      <c r="F10" s="237">
        <f>G10+H10+I10</f>
        <v>10000000</v>
      </c>
      <c r="G10" s="328">
        <f>'II TRASLADOS , INST. OPERACION'!E10</f>
        <v>0</v>
      </c>
      <c r="H10" s="328">
        <f>+'II TRASLADOS , INST. OPERACION'!F10</f>
        <v>10000000</v>
      </c>
      <c r="I10" s="329">
        <f>'II TRASLADOS , INST. OPERACION'!G10</f>
        <v>0</v>
      </c>
      <c r="J10" s="229"/>
    </row>
    <row r="11" spans="2:12" ht="32.450000000000003" customHeight="1">
      <c r="B11" s="435"/>
      <c r="C11" s="447"/>
      <c r="D11" s="445"/>
      <c r="E11" s="333" t="s">
        <v>69</v>
      </c>
      <c r="F11" s="237">
        <f>+G11+H11+I11</f>
        <v>3000000</v>
      </c>
      <c r="G11" s="328">
        <f>'II TRASLADOS , INST. OPERACION'!E11</f>
        <v>0</v>
      </c>
      <c r="H11" s="328">
        <f>+'II TRASLADOS , INST. OPERACION'!F11</f>
        <v>3000000</v>
      </c>
      <c r="I11" s="329">
        <f>'II TRASLADOS , INST. OPERACION'!G11</f>
        <v>0</v>
      </c>
      <c r="J11" s="229"/>
      <c r="K11" s="448" t="str">
        <f>IF(G11="","No puede tener celdas vacías",IF(G12="","No puede tener celdas vacías",IF(H11="","No puede tener celdas vacías",IF(H12="","No puede tener celdas vacías",IF(I10="","No puede tener celdas vacías",IF(I11="","No puede tener celdas vacías",IF(I12="","No puede tener celdas vacías","")))))))</f>
        <v/>
      </c>
      <c r="L11" s="448"/>
    </row>
    <row r="12" spans="2:12" ht="32.450000000000003" customHeight="1">
      <c r="B12" s="435"/>
      <c r="C12" s="447"/>
      <c r="D12" s="445"/>
      <c r="E12" s="333" t="s">
        <v>70</v>
      </c>
      <c r="F12" s="240">
        <f>IF(SUM(G12+H12+I12)=0,"Este Sub Item debe contemplar Financiamiento",SUM(G12:I12))</f>
        <v>3757801</v>
      </c>
      <c r="G12" s="328">
        <f>'II TRASLADOS , INST. OPERACION'!E12</f>
        <v>0</v>
      </c>
      <c r="H12" s="328">
        <f>+'II TRASLADOS , INST. OPERACION'!F12</f>
        <v>0</v>
      </c>
      <c r="I12" s="329">
        <f>'II TRASLADOS , INST. OPERACION'!G12</f>
        <v>3757801</v>
      </c>
      <c r="J12" s="229"/>
      <c r="K12" s="448"/>
      <c r="L12" s="448"/>
    </row>
    <row r="13" spans="2:12" ht="32.450000000000003" customHeight="1">
      <c r="B13" s="435" t="s">
        <v>115</v>
      </c>
      <c r="C13" s="447" t="s">
        <v>116</v>
      </c>
      <c r="D13" s="445" t="s">
        <v>117</v>
      </c>
      <c r="E13" s="333" t="s">
        <v>71</v>
      </c>
      <c r="F13" s="241">
        <f>H13+I13</f>
        <v>31707300</v>
      </c>
      <c r="G13" s="242"/>
      <c r="H13" s="328">
        <f>+'II TRASLADOS , INST. OPERACION'!F14</f>
        <v>29527300</v>
      </c>
      <c r="I13" s="329">
        <f>+'II TRASLADOS , INST. OPERACION'!G14</f>
        <v>2180000</v>
      </c>
      <c r="J13" s="229"/>
      <c r="K13" s="448" t="str">
        <f>IF(H13="","No puede tener celdas vacías",IF(H15="","No puede tener celdas vacías",IF(I13="","No puede tener celdas vacías",IF(I15="","No puede tener celdas vacías",""))))</f>
        <v/>
      </c>
      <c r="L13" s="448"/>
    </row>
    <row r="14" spans="2:12" ht="32.450000000000003" customHeight="1">
      <c r="B14" s="435"/>
      <c r="C14" s="447"/>
      <c r="D14" s="445"/>
      <c r="E14" s="333" t="s">
        <v>87</v>
      </c>
      <c r="F14" s="241">
        <f>H14+I14</f>
        <v>64249544</v>
      </c>
      <c r="G14" s="242"/>
      <c r="H14" s="328">
        <f>+'II TRASLADOS , INST. OPERACION'!F15</f>
        <v>0</v>
      </c>
      <c r="I14" s="329">
        <f>+'II TRASLADOS , INST. OPERACION'!G15</f>
        <v>64249544</v>
      </c>
      <c r="J14" s="229"/>
      <c r="K14" s="448"/>
      <c r="L14" s="448"/>
    </row>
    <row r="15" spans="2:12" ht="32.450000000000003" customHeight="1" thickBot="1">
      <c r="B15" s="436"/>
      <c r="C15" s="451"/>
      <c r="D15" s="446"/>
      <c r="E15" s="334" t="s">
        <v>118</v>
      </c>
      <c r="F15" s="243">
        <f>+H15+I15</f>
        <v>24121422</v>
      </c>
      <c r="G15" s="244"/>
      <c r="H15" s="330">
        <f>+'II TRASLADOS , INST. OPERACION'!F16</f>
        <v>0</v>
      </c>
      <c r="I15" s="331">
        <f>+'II TRASLADOS , INST. OPERACION'!G16</f>
        <v>24121422</v>
      </c>
      <c r="J15" s="229"/>
      <c r="K15" s="448"/>
      <c r="L15" s="448"/>
    </row>
    <row r="16" spans="2:12" ht="111" customHeight="1" thickBot="1">
      <c r="B16" s="442" t="s">
        <v>125</v>
      </c>
      <c r="C16" s="443"/>
      <c r="D16" s="444"/>
      <c r="E16" s="245" t="s">
        <v>90</v>
      </c>
      <c r="F16" s="246">
        <f>IF(SUM(F7:F8)&lt;50000000,"El Monto Mínimo del ítem Equipamiento debe ser $50.000.000.-",SUM(F7:F15))</f>
        <v>606181459.57999992</v>
      </c>
      <c r="G16" s="247">
        <f>IF(SUM(G7:G15)&gt;400000000,"Monto Solicitado a FONDEQUIP no puede ser mayor a $400.000.000 (máximo a financiar por Proyecto).-",IF(SUM(G9:G12)&gt;(SUM(G7:G8)*0.5),"Total B. Traslados e Instalación no puede ser Mayor al 50% de  A. Equipamiento.- ",SUM(G7:G15)))</f>
        <v>393934904.57999998</v>
      </c>
      <c r="H16" s="247">
        <f>IF(('II TRASLADOS , INST. OPERACION'!E29=0),"Aporte Pecuniario debe ser, al menos, el 10% de A. Equipamiento en los sub-ítems correspondientes.-",SUM(H7:H15))</f>
        <v>117937788</v>
      </c>
      <c r="I16" s="248">
        <f>IF(SUM(SUM(I10:I15)+SUM(H7:H15))&lt;(F7+F8)*50%,"Aporte No Pecuniario debe ser, al menos, el equivalente al porcentaje no financiado con Aporte Pecuniario para cumplir con el mínimo correspondiente al 50% de A. Equipamiento.-",SUM(I7:I15))</f>
        <v>94308767</v>
      </c>
      <c r="J16" s="229"/>
    </row>
    <row r="17" spans="2:10">
      <c r="B17" s="227"/>
      <c r="C17" s="227"/>
      <c r="D17" s="227"/>
      <c r="E17" s="249"/>
      <c r="F17" s="227"/>
      <c r="G17" s="250"/>
      <c r="H17" s="250"/>
      <c r="I17" s="227"/>
      <c r="J17" s="227"/>
    </row>
    <row r="23" spans="2:10">
      <c r="G23" s="251"/>
    </row>
  </sheetData>
  <sheetProtection algorithmName="SHA-512" hashValue="gZzsbf8mAqvjeWtl2e2jZebznd0+cWrWYTEI2zov4VowEZl3Z9COzekucls6yp/a5ut65lRpi7piRybkibLLwA==" saltValue="pPaEB7n4MYFeVY5SsHkxdQ==" spinCount="100000" sheet="1" selectLockedCells="1"/>
  <mergeCells count="19">
    <mergeCell ref="K11:L12"/>
    <mergeCell ref="K13:L15"/>
    <mergeCell ref="C2:I2"/>
    <mergeCell ref="G5:G6"/>
    <mergeCell ref="C13:C15"/>
    <mergeCell ref="C3:I3"/>
    <mergeCell ref="H5:I5"/>
    <mergeCell ref="F5:F6"/>
    <mergeCell ref="C7:C8"/>
    <mergeCell ref="D7:D8"/>
    <mergeCell ref="C6:D6"/>
    <mergeCell ref="B7:B12"/>
    <mergeCell ref="B13:B15"/>
    <mergeCell ref="B1:I1"/>
    <mergeCell ref="B5:E5"/>
    <mergeCell ref="B16:D16"/>
    <mergeCell ref="D13:D15"/>
    <mergeCell ref="C9:C12"/>
    <mergeCell ref="D9:D12"/>
  </mergeCells>
  <conditionalFormatting sqref="F12">
    <cfRule type="containsText" dxfId="61" priority="1" stopIfTrue="1" operator="containsText" text="Este Sub Item">
      <formula>NOT(ISERROR(SEARCH("Este Sub Item",F12)))</formula>
    </cfRule>
  </conditionalFormatting>
  <conditionalFormatting sqref="F16">
    <cfRule type="containsText" dxfId="60" priority="5" stopIfTrue="1" operator="containsText" text="El Monto">
      <formula>NOT(ISERROR(SEARCH("El Monto",F16)))</formula>
    </cfRule>
  </conditionalFormatting>
  <conditionalFormatting sqref="G16">
    <cfRule type="cellIs" dxfId="59" priority="4" stopIfTrue="1" operator="greaterThan">
      <formula>400000000</formula>
    </cfRule>
  </conditionalFormatting>
  <conditionalFormatting sqref="H16:I16">
    <cfRule type="containsText" dxfId="58" priority="2" stopIfTrue="1" operator="containsText" text="Debe ser">
      <formula>NOT(ISERROR(SEARCH("Debe ser",H16)))</formula>
    </cfRule>
  </conditionalFormatting>
  <conditionalFormatting sqref="K11">
    <cfRule type="containsText" dxfId="57" priority="13" stopIfTrue="1" operator="containsText" text="Monto Item Equipamiento OK">
      <formula>NOT(ISERROR(SEARCH("Monto Item Equipamiento OK",K11)))</formula>
    </cfRule>
    <cfRule type="containsText" dxfId="56" priority="14" operator="containsText" text="$50.000.000">
      <formula>NOT(ISERROR(SEARCH("$50.000.000",K11)))</formula>
    </cfRule>
    <cfRule type="containsText" dxfId="55" priority="15" operator="containsText" text="Excede">
      <formula>NOT(ISERROR(SEARCH("Excede",K11)))</formula>
    </cfRule>
    <cfRule type="containsText" dxfId="54" priority="16" operator="containsText" text="M$50.000">
      <formula>NOT(ISERROR(SEARCH("M$50.000",K11)))</formula>
    </cfRule>
  </conditionalFormatting>
  <conditionalFormatting sqref="K13:K14">
    <cfRule type="containsText" dxfId="53" priority="17" operator="containsText" text="$50.000.000">
      <formula>NOT(ISERROR(SEARCH("$50.000.000",K13)))</formula>
    </cfRule>
    <cfRule type="containsText" dxfId="52" priority="18" operator="containsText" text="Excede">
      <formula>NOT(ISERROR(SEARCH("Excede",K13)))</formula>
    </cfRule>
    <cfRule type="containsText" dxfId="51" priority="19" operator="containsText" text="M$50.000">
      <formula>NOT(ISERROR(SEARCH("M$50.000",K13)))</formula>
    </cfRule>
    <cfRule type="containsText" dxfId="50" priority="20" stopIfTrue="1" operator="containsText" text="Monto Item Equipamiento OK">
      <formula>NOT(ISERROR(SEARCH("Monto Item Equipamiento OK",K13)))</formula>
    </cfRule>
  </conditionalFormatting>
  <conditionalFormatting sqref="K11:L12">
    <cfRule type="containsText" dxfId="49" priority="11" stopIfTrue="1" operator="containsText" text="No puede tener">
      <formula>NOT(ISERROR(SEARCH("No puede tener",K11)))</formula>
    </cfRule>
  </conditionalFormatting>
  <conditionalFormatting sqref="K13:L15">
    <cfRule type="containsText" dxfId="48" priority="10" stopIfTrue="1" operator="containsText" text="No puede tener">
      <formula>NOT(ISERROR(SEARCH("No puede tener",K13)))</formula>
    </cfRule>
  </conditionalFormatting>
  <dataValidations xWindow="766" yWindow="436" count="5">
    <dataValidation type="custom" allowBlank="1" showInputMessage="1" showErrorMessage="1" errorTitle="Error" error="La suma de este Item B.TRASLADOS E INSTALACION a financiar por CONICYT, no puede ser Mayor al total del Item A.EQUIPAMIENTO" sqref="G10" xr:uid="{00000000-0002-0000-0500-000000000000}">
      <formula1>SUM(G9:G12)&lt;=(F7+F8)</formula1>
    </dataValidation>
    <dataValidation type="custom" allowBlank="1" showInputMessage="1" showErrorMessage="1" errorTitle="Error" error="La suma de este Item B.TRASLADOS E INSTALACION a financiar por CONICYT, no puede ser Mayor al total del Item A. EQUIPAMIENTO" sqref="G7:G9" xr:uid="{00000000-0002-0000-0500-000001000000}">
      <formula1>SUM(G7:G10)&lt;=(F5+F6)</formula1>
    </dataValidation>
    <dataValidation type="custom" allowBlank="1" showInputMessage="1" showErrorMessage="1" errorTitle="Error" error="La suma de este Item B.TRASLADOS E INSTALACION a financiar por CONICYT, no puede ser Mayor al total del Item A.EQUIPAMIENTO" sqref="G11" xr:uid="{00000000-0002-0000-0500-000002000000}">
      <formula1>SUM(G9:G12)&lt;=(F7+F8)</formula1>
    </dataValidation>
    <dataValidation type="custom" allowBlank="1" showInputMessage="1" showErrorMessage="1" errorTitle="Error" error="La suma de este Item B.TRASLADOS E INSTALACION a financiar por CONICYT, no puede ser Mayor al total del Item A.EQUIPAMIENTO" sqref="G12" xr:uid="{00000000-0002-0000-0500-000003000000}">
      <formula1>SUM(G9:G12)&lt;=F7+F8</formula1>
    </dataValidation>
    <dataValidation operator="greaterThanOrEqual" allowBlank="1" showInputMessage="1" sqref="H7:H15" xr:uid="{00000000-0002-0000-0500-000004000000}"/>
  </dataValidations>
  <printOptions horizontalCentered="1"/>
  <pageMargins left="0" right="0" top="0.78740157480314965" bottom="0.78740157480314965" header="0" footer="0.59055118110236227"/>
  <pageSetup paperSize="119" scale="70" orientation="landscape" r:id="rId1"/>
  <headerFooter alignWithMargins="0">
    <oddFooter>&amp;L&amp;A - &amp;F
&amp;D</oddFooter>
  </headerFooter>
  <ignoredErrors>
    <ignoredError sqref="G9:G12 I10:I1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7"/>
  <sheetViews>
    <sheetView topLeftCell="A5" zoomScale="90" zoomScaleNormal="90" workbookViewId="0">
      <selection activeCell="G10" sqref="G10"/>
    </sheetView>
  </sheetViews>
  <sheetFormatPr defaultColWidth="11.42578125" defaultRowHeight="15"/>
  <cols>
    <col min="1" max="1" width="2" style="82" customWidth="1"/>
    <col min="2" max="2" width="2.7109375" style="82" customWidth="1"/>
    <col min="3" max="3" width="26.28515625" style="82" customWidth="1"/>
    <col min="4" max="4" width="16.85546875" style="82" customWidth="1"/>
    <col min="5" max="5" width="58" style="82" customWidth="1"/>
    <col min="6" max="6" width="71.85546875" style="82" customWidth="1"/>
    <col min="7" max="7" width="58" style="82" customWidth="1"/>
    <col min="8" max="8" width="2.85546875" style="82" customWidth="1"/>
    <col min="9" max="16384" width="11.42578125" style="82"/>
  </cols>
  <sheetData>
    <row r="1" spans="1:18" s="112" customFormat="1" ht="24" customHeight="1">
      <c r="A1" s="121"/>
      <c r="B1" s="121"/>
      <c r="C1" s="463" t="s">
        <v>126</v>
      </c>
      <c r="D1" s="463"/>
      <c r="E1" s="463"/>
      <c r="F1" s="463"/>
      <c r="G1" s="463"/>
      <c r="H1" s="122"/>
      <c r="I1" s="123"/>
      <c r="J1" s="123"/>
      <c r="K1" s="123"/>
      <c r="L1" s="123"/>
      <c r="M1" s="123"/>
      <c r="N1" s="123"/>
      <c r="O1" s="123"/>
      <c r="P1" s="124"/>
      <c r="Q1" s="124"/>
      <c r="R1" s="124"/>
    </row>
    <row r="2" spans="1:18" s="135" customFormat="1" ht="34.15" customHeight="1">
      <c r="A2" s="151"/>
      <c r="B2" s="254"/>
      <c r="C2" s="335" t="s">
        <v>127</v>
      </c>
      <c r="D2" s="336" t="s">
        <v>128</v>
      </c>
      <c r="E2" s="461" t="s">
        <v>129</v>
      </c>
      <c r="F2" s="462"/>
      <c r="G2" s="462"/>
      <c r="H2" s="151"/>
    </row>
    <row r="3" spans="1:18" s="135" customFormat="1" ht="150" customHeight="1">
      <c r="A3" s="151"/>
      <c r="B3" s="460" t="s">
        <v>111</v>
      </c>
      <c r="C3" s="337" t="str">
        <f>+'III.- PRESUPUESTO FINAL'!E9</f>
        <v>B.1. Traslados, Seguros de Traslado, Desaduanaje e IVA de Equipo</v>
      </c>
      <c r="D3" s="338">
        <f>+'III.- PRESUPUESTO FINAL'!F9</f>
        <v>145457657.57999998</v>
      </c>
      <c r="E3" s="356" t="s">
        <v>130</v>
      </c>
      <c r="F3" s="299" t="s">
        <v>131</v>
      </c>
      <c r="G3" s="299" t="s">
        <v>132</v>
      </c>
      <c r="H3" s="255"/>
      <c r="I3" s="152"/>
      <c r="J3" s="152"/>
      <c r="K3" s="152"/>
      <c r="L3" s="152"/>
      <c r="M3" s="152"/>
      <c r="N3" s="152"/>
      <c r="O3" s="152"/>
      <c r="P3" s="256"/>
      <c r="Q3" s="256"/>
      <c r="R3" s="256"/>
    </row>
    <row r="4" spans="1:18" s="135" customFormat="1" ht="150" customHeight="1">
      <c r="A4" s="151"/>
      <c r="B4" s="460"/>
      <c r="C4" s="337" t="str">
        <f>+'III.- PRESUPUESTO FINAL'!E10</f>
        <v>B.2. Adecuación Espacio para Equipo</v>
      </c>
      <c r="D4" s="338">
        <f>+'III.- PRESUPUESTO FINAL'!F10</f>
        <v>10000000</v>
      </c>
      <c r="E4" s="299" t="s">
        <v>133</v>
      </c>
      <c r="F4" s="299" t="s">
        <v>134</v>
      </c>
      <c r="G4" s="299" t="s">
        <v>132</v>
      </c>
      <c r="H4" s="255"/>
      <c r="I4" s="152"/>
      <c r="J4" s="152"/>
      <c r="K4" s="152"/>
      <c r="L4" s="152"/>
      <c r="M4" s="152"/>
      <c r="N4" s="152"/>
      <c r="O4" s="152"/>
      <c r="P4" s="256"/>
      <c r="Q4" s="256"/>
      <c r="R4" s="256"/>
    </row>
    <row r="5" spans="1:18" s="135" customFormat="1" ht="150" customHeight="1">
      <c r="A5" s="151"/>
      <c r="B5" s="460"/>
      <c r="C5" s="337" t="str">
        <f>+'III.- PRESUPUESTO FINAL'!E11</f>
        <v>B.3. Instalación y Puesta en Marcha de Equipo</v>
      </c>
      <c r="D5" s="338">
        <f>+'III.- PRESUPUESTO FINAL'!F11</f>
        <v>3000000</v>
      </c>
      <c r="E5" s="299" t="s">
        <v>133</v>
      </c>
      <c r="F5" s="299" t="s">
        <v>135</v>
      </c>
      <c r="G5" s="299" t="s">
        <v>132</v>
      </c>
      <c r="H5" s="255"/>
      <c r="I5" s="152"/>
      <c r="J5" s="152"/>
      <c r="K5" s="152"/>
      <c r="L5" s="152"/>
      <c r="M5" s="152"/>
      <c r="N5" s="152"/>
      <c r="O5" s="152"/>
      <c r="P5" s="256"/>
      <c r="Q5" s="256"/>
      <c r="R5" s="256"/>
    </row>
    <row r="6" spans="1:18" s="135" customFormat="1" ht="150" customHeight="1">
      <c r="A6" s="151"/>
      <c r="B6" s="460"/>
      <c r="C6" s="337" t="str">
        <f>+'III.- PRESUPUESTO FINAL'!E12</f>
        <v>B.4. Mantención, Garantías y Seguros de Equipo</v>
      </c>
      <c r="D6" s="339">
        <f>+'III.- PRESUPUESTO FINAL'!F12</f>
        <v>3757801</v>
      </c>
      <c r="E6" s="299" t="s">
        <v>136</v>
      </c>
      <c r="F6" s="299" t="s">
        <v>137</v>
      </c>
      <c r="G6" s="299" t="s">
        <v>138</v>
      </c>
      <c r="H6" s="255"/>
      <c r="I6" s="152"/>
      <c r="J6" s="152"/>
      <c r="K6" s="152"/>
      <c r="L6" s="152"/>
      <c r="M6" s="152"/>
      <c r="N6" s="152"/>
      <c r="O6" s="152"/>
      <c r="P6" s="256"/>
      <c r="Q6" s="256"/>
      <c r="R6" s="256"/>
    </row>
    <row r="7" spans="1:18" s="135" customFormat="1" ht="7.15" customHeight="1">
      <c r="A7" s="151"/>
      <c r="B7" s="257"/>
      <c r="C7" s="340"/>
      <c r="D7" s="341"/>
      <c r="E7" s="258"/>
      <c r="F7" s="256"/>
      <c r="G7" s="256"/>
      <c r="H7" s="259"/>
      <c r="I7" s="256"/>
      <c r="J7" s="256"/>
      <c r="K7" s="256"/>
      <c r="L7" s="256"/>
      <c r="M7" s="256"/>
      <c r="N7" s="256"/>
      <c r="O7" s="256"/>
      <c r="P7" s="256"/>
      <c r="Q7" s="256"/>
      <c r="R7" s="256"/>
    </row>
    <row r="8" spans="1:18" s="135" customFormat="1" ht="257.25">
      <c r="A8" s="151"/>
      <c r="B8" s="460" t="s">
        <v>139</v>
      </c>
      <c r="C8" s="337" t="str">
        <f>+'III.- PRESUPUESTO FINAL'!E13</f>
        <v>C.1. Capacitaciones</v>
      </c>
      <c r="D8" s="338">
        <f>+'III.- PRESUPUESTO FINAL'!F13</f>
        <v>31707300</v>
      </c>
      <c r="E8" s="299" t="s">
        <v>133</v>
      </c>
      <c r="F8" s="299" t="s">
        <v>140</v>
      </c>
      <c r="G8" s="299" t="s">
        <v>141</v>
      </c>
      <c r="H8" s="259"/>
      <c r="I8" s="256"/>
      <c r="J8" s="256"/>
      <c r="K8" s="256"/>
      <c r="L8" s="256"/>
      <c r="M8" s="256"/>
      <c r="N8" s="256"/>
      <c r="O8" s="256"/>
      <c r="P8" s="256"/>
      <c r="Q8" s="256"/>
      <c r="R8" s="256"/>
    </row>
    <row r="9" spans="1:18" s="135" customFormat="1" ht="409.5">
      <c r="A9" s="151"/>
      <c r="B9" s="460"/>
      <c r="C9" s="337" t="str">
        <f>+'III.- PRESUPUESTO FINAL'!E14</f>
        <v>C.2. Otros Gastos de Operación</v>
      </c>
      <c r="D9" s="338">
        <f>+'III.- PRESUPUESTO FINAL'!F14</f>
        <v>64249544</v>
      </c>
      <c r="E9" s="299" t="s">
        <v>133</v>
      </c>
      <c r="F9" s="299" t="s">
        <v>137</v>
      </c>
      <c r="G9" s="299" t="s">
        <v>142</v>
      </c>
      <c r="H9" s="259"/>
      <c r="I9" s="256"/>
      <c r="J9" s="256"/>
      <c r="K9" s="256"/>
      <c r="L9" s="256"/>
      <c r="M9" s="256"/>
      <c r="N9" s="256"/>
      <c r="O9" s="256"/>
      <c r="P9" s="256"/>
      <c r="Q9" s="256"/>
      <c r="R9" s="256"/>
    </row>
    <row r="10" spans="1:18" s="135" customFormat="1" ht="285.75">
      <c r="A10" s="151"/>
      <c r="B10" s="460"/>
      <c r="C10" s="337" t="str">
        <f>+'III.- PRESUPUESTO FINAL'!E15</f>
        <v>C.3. Gastos de Administración</v>
      </c>
      <c r="D10" s="338">
        <f>+'III.- PRESUPUESTO FINAL'!F15</f>
        <v>24121422</v>
      </c>
      <c r="E10" s="299" t="s">
        <v>133</v>
      </c>
      <c r="F10" s="299" t="s">
        <v>137</v>
      </c>
      <c r="G10" s="299" t="s">
        <v>143</v>
      </c>
      <c r="H10" s="259"/>
      <c r="I10" s="256"/>
      <c r="J10" s="256"/>
      <c r="K10" s="256"/>
      <c r="L10" s="256"/>
      <c r="M10" s="256"/>
      <c r="N10" s="256"/>
      <c r="O10" s="256"/>
      <c r="P10" s="256"/>
      <c r="Q10" s="256"/>
      <c r="R10" s="256"/>
    </row>
    <row r="11" spans="1:18" s="135" customFormat="1" ht="14.25">
      <c r="A11" s="151"/>
      <c r="B11" s="151"/>
      <c r="C11" s="259"/>
      <c r="D11" s="259"/>
      <c r="E11" s="259"/>
      <c r="F11" s="259"/>
      <c r="G11" s="259"/>
      <c r="H11" s="259"/>
      <c r="I11" s="256"/>
      <c r="J11" s="256"/>
      <c r="K11" s="256"/>
      <c r="L11" s="256"/>
      <c r="M11" s="256"/>
      <c r="N11" s="256"/>
      <c r="O11" s="256"/>
      <c r="P11" s="256"/>
      <c r="Q11" s="256"/>
      <c r="R11" s="256"/>
    </row>
    <row r="15" spans="1:18">
      <c r="D15" s="117"/>
      <c r="E15" s="117"/>
      <c r="F15" s="117"/>
      <c r="G15" s="117"/>
      <c r="H15" s="117"/>
      <c r="I15" s="117"/>
      <c r="J15" s="117"/>
      <c r="K15" s="117"/>
      <c r="L15" s="118"/>
      <c r="M15" s="118"/>
      <c r="N15" s="118"/>
      <c r="O15" s="118"/>
      <c r="P15" s="119"/>
      <c r="Q15" s="119"/>
      <c r="R15" s="119"/>
    </row>
    <row r="16" spans="1:18">
      <c r="D16" s="120"/>
      <c r="E16" s="120"/>
      <c r="F16" s="120"/>
      <c r="G16" s="120"/>
      <c r="H16" s="120"/>
      <c r="I16" s="120"/>
      <c r="J16" s="120"/>
      <c r="K16" s="120"/>
      <c r="L16" s="120"/>
      <c r="M16" s="120"/>
      <c r="N16" s="120"/>
      <c r="O16" s="120"/>
      <c r="P16" s="120"/>
      <c r="Q16" s="120"/>
      <c r="R16" s="120"/>
    </row>
    <row r="17" spans="4:18">
      <c r="D17" s="120"/>
      <c r="E17" s="120"/>
      <c r="F17" s="120"/>
      <c r="G17" s="120"/>
      <c r="H17" s="120"/>
      <c r="I17" s="120"/>
      <c r="J17" s="120"/>
      <c r="K17" s="120"/>
      <c r="L17" s="120"/>
      <c r="M17" s="120"/>
      <c r="N17" s="120"/>
      <c r="O17" s="120"/>
      <c r="P17" s="120"/>
      <c r="Q17" s="120"/>
      <c r="R17" s="120"/>
    </row>
  </sheetData>
  <sheetProtection algorithmName="SHA-512" hashValue="HThceHRY+O66VTmEfC2NjLMMiZBqSchrYJdU8zxrv0XT4Ra/GTlemy/lCBjIW3e0lgrD7Lx8hu1Dq9NkudhsFQ==" saltValue="r3yEsr4L34oKMhlwv7vAoQ==" spinCount="100000" sheet="1" formatCells="0" formatColumns="0" formatRows="0" selectLockedCells="1"/>
  <mergeCells count="4">
    <mergeCell ref="B3:B6"/>
    <mergeCell ref="B8:B10"/>
    <mergeCell ref="E2:G2"/>
    <mergeCell ref="C1:G1"/>
  </mergeCells>
  <conditionalFormatting sqref="D6">
    <cfRule type="containsText" dxfId="47" priority="1" stopIfTrue="1" operator="containsText" text="Este Sub Item debe">
      <formula>NOT(ISERROR(SEARCH("Este Sub Item debe",D6)))</formula>
    </cfRule>
  </conditionalFormatting>
  <printOptions horizontalCentered="1"/>
  <pageMargins left="0" right="0" top="0.74803149606299213" bottom="0.74803149606299213" header="0.31496062992125984" footer="0.31496062992125984"/>
  <pageSetup scale="69" orientation="landscape" r:id="rId1"/>
  <headerFooter alignWithMargins="0">
    <oddFooter>&amp;L&amp;A - &amp;F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tabColor rgb="FF002060"/>
  </sheetPr>
  <dimension ref="A1:U30"/>
  <sheetViews>
    <sheetView showGridLines="0" topLeftCell="A2" zoomScale="90" zoomScaleNormal="90" workbookViewId="0">
      <pane xSplit="4" ySplit="6" topLeftCell="F8" activePane="bottomRight" state="frozen"/>
      <selection pane="bottomRight" activeCell="F7" sqref="F7"/>
      <selection pane="bottomLeft" activeCell="A8" sqref="A8"/>
      <selection pane="topRight" activeCell="E2" sqref="E2"/>
    </sheetView>
  </sheetViews>
  <sheetFormatPr defaultColWidth="11.42578125" defaultRowHeight="12"/>
  <cols>
    <col min="1" max="1" width="3" style="2" customWidth="1"/>
    <col min="2" max="2" width="3.85546875" style="2" customWidth="1"/>
    <col min="3" max="3" width="15" style="2" customWidth="1"/>
    <col min="4" max="4" width="32.140625" style="2" customWidth="1"/>
    <col min="5" max="16" width="15.42578125" style="2" customWidth="1"/>
    <col min="17" max="17" width="3.42578125" style="2" customWidth="1"/>
    <col min="18" max="18" width="12.7109375" style="2" customWidth="1"/>
    <col min="19" max="19" width="17.42578125" style="2" customWidth="1"/>
    <col min="20" max="20" width="20.42578125" style="2" customWidth="1"/>
    <col min="21" max="21" width="16.5703125" style="2" hidden="1" customWidth="1"/>
    <col min="22" max="22" width="9.42578125" style="2" customWidth="1"/>
    <col min="23" max="16384" width="11.42578125" style="2"/>
  </cols>
  <sheetData>
    <row r="1" spans="1:19" ht="9" customHeight="1">
      <c r="A1" s="1"/>
      <c r="B1" s="1"/>
      <c r="C1" s="1"/>
      <c r="D1" s="1"/>
      <c r="E1" s="1"/>
      <c r="F1" s="1"/>
      <c r="G1" s="1"/>
      <c r="H1" s="1"/>
      <c r="I1" s="1"/>
      <c r="J1" s="1"/>
      <c r="K1" s="1"/>
      <c r="L1" s="1"/>
      <c r="M1" s="1"/>
      <c r="N1" s="1"/>
      <c r="O1" s="1"/>
      <c r="P1" s="1"/>
      <c r="Q1" s="1"/>
    </row>
    <row r="2" spans="1:19" ht="28.5" customHeight="1">
      <c r="A2" s="1"/>
      <c r="B2" s="466" t="s">
        <v>144</v>
      </c>
      <c r="C2" s="466"/>
      <c r="D2" s="466"/>
      <c r="E2" s="466"/>
      <c r="F2" s="466"/>
      <c r="G2" s="466"/>
      <c r="H2" s="466"/>
      <c r="I2" s="466"/>
      <c r="J2" s="466"/>
      <c r="K2" s="466"/>
      <c r="L2" s="466"/>
      <c r="M2" s="466"/>
      <c r="N2" s="466"/>
      <c r="O2" s="466"/>
      <c r="P2" s="466"/>
      <c r="Q2" s="1"/>
    </row>
    <row r="3" spans="1:19" hidden="1">
      <c r="A3" s="1"/>
      <c r="B3" s="467"/>
      <c r="C3" s="467"/>
      <c r="D3" s="467"/>
      <c r="E3" s="467"/>
      <c r="F3" s="467"/>
      <c r="G3" s="467"/>
      <c r="H3" s="467"/>
      <c r="I3" s="467"/>
      <c r="J3" s="467"/>
      <c r="K3" s="467"/>
      <c r="L3" s="467"/>
      <c r="M3" s="467"/>
      <c r="N3" s="467"/>
      <c r="O3" s="467"/>
      <c r="P3" s="467"/>
      <c r="Q3" s="1"/>
    </row>
    <row r="4" spans="1:19" ht="9" customHeight="1" thickBot="1">
      <c r="A4" s="1"/>
      <c r="B4" s="468"/>
      <c r="C4" s="469"/>
      <c r="D4" s="469"/>
      <c r="E4" s="469"/>
      <c r="F4" s="469"/>
      <c r="G4" s="469"/>
      <c r="H4" s="469"/>
      <c r="I4" s="469"/>
      <c r="J4" s="469"/>
      <c r="K4" s="469"/>
      <c r="L4" s="469"/>
      <c r="M4" s="469"/>
      <c r="N4" s="469"/>
      <c r="O4" s="469"/>
      <c r="P4" s="469"/>
      <c r="Q4" s="1"/>
    </row>
    <row r="5" spans="1:19" ht="13.5" hidden="1" customHeight="1" thickBot="1">
      <c r="A5" s="1"/>
      <c r="B5" s="1"/>
      <c r="C5" s="1"/>
      <c r="D5" s="1"/>
      <c r="E5" s="1"/>
      <c r="F5" s="1"/>
      <c r="G5" s="1"/>
      <c r="H5" s="1"/>
      <c r="I5" s="1"/>
      <c r="J5" s="1"/>
      <c r="K5" s="1"/>
      <c r="L5" s="1"/>
      <c r="M5" s="1"/>
      <c r="N5" s="1"/>
      <c r="O5" s="1"/>
      <c r="P5" s="3"/>
      <c r="Q5" s="1"/>
    </row>
    <row r="6" spans="1:19" ht="25.5" customHeight="1" thickBot="1">
      <c r="A6" s="1"/>
      <c r="B6" s="470" t="s">
        <v>145</v>
      </c>
      <c r="C6" s="470"/>
      <c r="D6" s="471"/>
      <c r="E6" s="472" t="s">
        <v>128</v>
      </c>
      <c r="F6" s="473"/>
      <c r="G6" s="474"/>
      <c r="H6" s="472" t="s">
        <v>146</v>
      </c>
      <c r="I6" s="473"/>
      <c r="J6" s="474"/>
      <c r="K6" s="475" t="s">
        <v>123</v>
      </c>
      <c r="L6" s="476"/>
      <c r="M6" s="476"/>
      <c r="N6" s="476"/>
      <c r="O6" s="476"/>
      <c r="P6" s="477"/>
      <c r="Q6" s="4"/>
    </row>
    <row r="7" spans="1:19" ht="37.9" customHeight="1" thickBot="1">
      <c r="A7" s="3"/>
      <c r="B7" s="487" t="s">
        <v>107</v>
      </c>
      <c r="C7" s="488"/>
      <c r="D7" s="5" t="s">
        <v>108</v>
      </c>
      <c r="E7" s="6" t="s">
        <v>147</v>
      </c>
      <c r="F7" s="85" t="s">
        <v>148</v>
      </c>
      <c r="G7" s="8" t="s">
        <v>149</v>
      </c>
      <c r="H7" s="6" t="s">
        <v>147</v>
      </c>
      <c r="I7" s="7" t="str">
        <f>+$F$7</f>
        <v>Modificación Solicitada
(Fecha:    )</v>
      </c>
      <c r="J7" s="8" t="s">
        <v>149</v>
      </c>
      <c r="K7" s="6" t="s">
        <v>150</v>
      </c>
      <c r="L7" s="7" t="str">
        <f>+$F$7</f>
        <v>Modificación Solicitada
(Fecha:    )</v>
      </c>
      <c r="M7" s="8" t="s">
        <v>151</v>
      </c>
      <c r="N7" s="6" t="s">
        <v>152</v>
      </c>
      <c r="O7" s="7" t="str">
        <f>+$F$7</f>
        <v>Modificación Solicitada
(Fecha:    )</v>
      </c>
      <c r="P7" s="8" t="s">
        <v>153</v>
      </c>
      <c r="Q7" s="4"/>
    </row>
    <row r="8" spans="1:19" ht="37.9" customHeight="1">
      <c r="A8" s="3"/>
      <c r="B8" s="489" t="s">
        <v>112</v>
      </c>
      <c r="C8" s="491" t="s">
        <v>111</v>
      </c>
      <c r="D8" s="9" t="s">
        <v>80</v>
      </c>
      <c r="E8" s="10">
        <f t="shared" ref="E8:E16" si="0">+H8+K8+N8</f>
        <v>321863735</v>
      </c>
      <c r="F8" s="11">
        <f t="shared" ref="F8:F16" si="1">+I8+L8+O8</f>
        <v>0</v>
      </c>
      <c r="G8" s="12">
        <f t="shared" ref="G8:G16" si="2">SUM(E8:F8)</f>
        <v>321863735</v>
      </c>
      <c r="H8" s="13">
        <f>+'III.- PRESUPUESTO FINAL'!G7</f>
        <v>321863735</v>
      </c>
      <c r="I8" s="14"/>
      <c r="J8" s="15">
        <f t="shared" ref="J8:J13" si="3">SUM(H8:I8)</f>
        <v>321863735</v>
      </c>
      <c r="K8" s="13">
        <f>+'III.- PRESUPUESTO FINAL'!H7</f>
        <v>0</v>
      </c>
      <c r="L8" s="16"/>
      <c r="M8" s="17">
        <f t="shared" ref="M8:M16" si="4">SUM(K8:L8)</f>
        <v>0</v>
      </c>
      <c r="N8" s="18"/>
      <c r="O8" s="19"/>
      <c r="P8" s="20"/>
      <c r="Q8" s="4"/>
      <c r="S8" s="21"/>
    </row>
    <row r="9" spans="1:19" ht="37.9" customHeight="1">
      <c r="A9" s="3"/>
      <c r="B9" s="490"/>
      <c r="C9" s="481"/>
      <c r="D9" s="22" t="s">
        <v>32</v>
      </c>
      <c r="E9" s="23">
        <f t="shared" si="0"/>
        <v>2024000</v>
      </c>
      <c r="F9" s="24">
        <f t="shared" si="1"/>
        <v>0</v>
      </c>
      <c r="G9" s="25">
        <f t="shared" si="2"/>
        <v>2024000</v>
      </c>
      <c r="H9" s="26">
        <f>+'III.- PRESUPUESTO FINAL'!G8</f>
        <v>2024000</v>
      </c>
      <c r="I9" s="27"/>
      <c r="J9" s="28">
        <f t="shared" si="3"/>
        <v>2024000</v>
      </c>
      <c r="K9" s="26">
        <f>+'III.- PRESUPUESTO FINAL'!H8</f>
        <v>0</v>
      </c>
      <c r="L9" s="29"/>
      <c r="M9" s="30">
        <f t="shared" si="4"/>
        <v>0</v>
      </c>
      <c r="N9" s="31"/>
      <c r="O9" s="32"/>
      <c r="P9" s="33"/>
      <c r="Q9" s="4"/>
      <c r="S9" s="21"/>
    </row>
    <row r="10" spans="1:19" ht="37.9" customHeight="1">
      <c r="A10" s="3"/>
      <c r="B10" s="490" t="s">
        <v>113</v>
      </c>
      <c r="C10" s="481" t="s">
        <v>114</v>
      </c>
      <c r="D10" s="22" t="s">
        <v>68</v>
      </c>
      <c r="E10" s="34">
        <f t="shared" si="0"/>
        <v>145457657.57999998</v>
      </c>
      <c r="F10" s="35">
        <f t="shared" si="1"/>
        <v>0</v>
      </c>
      <c r="G10" s="36">
        <f t="shared" si="2"/>
        <v>145457657.57999998</v>
      </c>
      <c r="H10" s="26">
        <f>+'III.- PRESUPUESTO FINAL'!G9</f>
        <v>70047169.579999998</v>
      </c>
      <c r="I10" s="37"/>
      <c r="J10" s="38">
        <f t="shared" si="3"/>
        <v>70047169.579999998</v>
      </c>
      <c r="K10" s="39">
        <f>+'III.- PRESUPUESTO FINAL'!H9</f>
        <v>75410488</v>
      </c>
      <c r="L10" s="40"/>
      <c r="M10" s="41">
        <f t="shared" si="4"/>
        <v>75410488</v>
      </c>
      <c r="N10" s="31"/>
      <c r="O10" s="32"/>
      <c r="P10" s="33"/>
      <c r="Q10" s="4"/>
      <c r="S10" s="42"/>
    </row>
    <row r="11" spans="1:19" ht="37.9" customHeight="1">
      <c r="A11" s="3"/>
      <c r="B11" s="490"/>
      <c r="C11" s="481"/>
      <c r="D11" s="22" t="s">
        <v>84</v>
      </c>
      <c r="E11" s="34">
        <f t="shared" si="0"/>
        <v>10000000</v>
      </c>
      <c r="F11" s="35">
        <f t="shared" si="1"/>
        <v>0</v>
      </c>
      <c r="G11" s="36">
        <f t="shared" si="2"/>
        <v>10000000</v>
      </c>
      <c r="H11" s="26">
        <f>+'III.- PRESUPUESTO FINAL'!G10</f>
        <v>0</v>
      </c>
      <c r="I11" s="37"/>
      <c r="J11" s="38">
        <f t="shared" si="3"/>
        <v>0</v>
      </c>
      <c r="K11" s="39">
        <f>+'III.- PRESUPUESTO FINAL'!H10</f>
        <v>10000000</v>
      </c>
      <c r="L11" s="40"/>
      <c r="M11" s="41">
        <f t="shared" si="4"/>
        <v>10000000</v>
      </c>
      <c r="N11" s="43">
        <f>+'III.- PRESUPUESTO FINAL'!I10</f>
        <v>0</v>
      </c>
      <c r="O11" s="40"/>
      <c r="P11" s="41">
        <f t="shared" ref="P11:P16" si="5">SUM(N11:O11)</f>
        <v>0</v>
      </c>
      <c r="Q11" s="4"/>
    </row>
    <row r="12" spans="1:19" ht="37.9" customHeight="1">
      <c r="A12" s="3"/>
      <c r="B12" s="490"/>
      <c r="C12" s="481"/>
      <c r="D12" s="22" t="s">
        <v>69</v>
      </c>
      <c r="E12" s="34">
        <f t="shared" si="0"/>
        <v>3000000</v>
      </c>
      <c r="F12" s="35">
        <f t="shared" si="1"/>
        <v>0</v>
      </c>
      <c r="G12" s="36">
        <f t="shared" si="2"/>
        <v>3000000</v>
      </c>
      <c r="H12" s="26">
        <f>+'III.- PRESUPUESTO FINAL'!G11</f>
        <v>0</v>
      </c>
      <c r="I12" s="37"/>
      <c r="J12" s="38">
        <f t="shared" si="3"/>
        <v>0</v>
      </c>
      <c r="K12" s="39">
        <f>+'III.- PRESUPUESTO FINAL'!H11</f>
        <v>3000000</v>
      </c>
      <c r="L12" s="40"/>
      <c r="M12" s="41">
        <f t="shared" si="4"/>
        <v>3000000</v>
      </c>
      <c r="N12" s="43">
        <f>+'III.- PRESUPUESTO FINAL'!I11</f>
        <v>0</v>
      </c>
      <c r="O12" s="40"/>
      <c r="P12" s="41">
        <f t="shared" si="5"/>
        <v>0</v>
      </c>
      <c r="Q12" s="4"/>
      <c r="R12" s="484" t="str">
        <f>IF(H12="","No puede tener celdas vacías",IF(H13="","No puede tener celdas vacías",IF(K12="","No puede tener celdas vacías",IF(K13="","No puede tener celdas vacías",IF(P11="","No puede tener celdas vacías",IF(P12="","No puede tener celdas vacías",IF(P13="","No puede tener celdas vacías","")))))))</f>
        <v/>
      </c>
      <c r="S12" s="484"/>
    </row>
    <row r="13" spans="1:19" ht="37.9" customHeight="1">
      <c r="A13" s="3"/>
      <c r="B13" s="490"/>
      <c r="C13" s="481"/>
      <c r="D13" s="22" t="s">
        <v>70</v>
      </c>
      <c r="E13" s="44">
        <f t="shared" si="0"/>
        <v>3757801</v>
      </c>
      <c r="F13" s="86">
        <f t="shared" si="1"/>
        <v>0</v>
      </c>
      <c r="G13" s="45">
        <f>IF(SUM(E13:F13)=0,"Este Sub-ítem debe tener Presupuesto",SUM(E13:F13))</f>
        <v>3757801</v>
      </c>
      <c r="H13" s="26">
        <f>+'III.- PRESUPUESTO FINAL'!G12</f>
        <v>0</v>
      </c>
      <c r="I13" s="37"/>
      <c r="J13" s="38">
        <f t="shared" si="3"/>
        <v>0</v>
      </c>
      <c r="K13" s="39">
        <f>+'III.- PRESUPUESTO FINAL'!H12</f>
        <v>0</v>
      </c>
      <c r="L13" s="40"/>
      <c r="M13" s="41">
        <f t="shared" si="4"/>
        <v>0</v>
      </c>
      <c r="N13" s="43">
        <f>+'III.- PRESUPUESTO FINAL'!I12</f>
        <v>3757801</v>
      </c>
      <c r="O13" s="40"/>
      <c r="P13" s="41">
        <f t="shared" si="5"/>
        <v>3757801</v>
      </c>
      <c r="Q13" s="4"/>
      <c r="R13" s="484"/>
      <c r="S13" s="484"/>
    </row>
    <row r="14" spans="1:19" ht="37.9" customHeight="1">
      <c r="A14" s="3"/>
      <c r="B14" s="478" t="s">
        <v>116</v>
      </c>
      <c r="C14" s="481" t="s">
        <v>117</v>
      </c>
      <c r="D14" s="22" t="s">
        <v>71</v>
      </c>
      <c r="E14" s="46">
        <f t="shared" si="0"/>
        <v>31707300</v>
      </c>
      <c r="F14" s="47">
        <f t="shared" si="1"/>
        <v>0</v>
      </c>
      <c r="G14" s="48">
        <f t="shared" si="2"/>
        <v>31707300</v>
      </c>
      <c r="H14" s="49"/>
      <c r="I14" s="50"/>
      <c r="J14" s="51"/>
      <c r="K14" s="39">
        <f>+'III.- PRESUPUESTO FINAL'!H13</f>
        <v>29527300</v>
      </c>
      <c r="L14" s="40"/>
      <c r="M14" s="41">
        <f t="shared" si="4"/>
        <v>29527300</v>
      </c>
      <c r="N14" s="43">
        <f>+'III.- PRESUPUESTO FINAL'!I13</f>
        <v>2180000</v>
      </c>
      <c r="O14" s="40"/>
      <c r="P14" s="41">
        <f t="shared" si="5"/>
        <v>2180000</v>
      </c>
      <c r="Q14" s="4"/>
      <c r="R14" s="484" t="str">
        <f>IF(K14="","No puede tener celdas vacías",IF(K16="","No puede tener celdas vacías",IF(P14="","No puede tener celdas vacías",IF(P16="","No puede tener celdas vacías",""))))</f>
        <v/>
      </c>
      <c r="S14" s="484"/>
    </row>
    <row r="15" spans="1:19" ht="37.9" customHeight="1">
      <c r="A15" s="3"/>
      <c r="B15" s="479"/>
      <c r="C15" s="482"/>
      <c r="D15" s="22" t="s">
        <v>87</v>
      </c>
      <c r="E15" s="34">
        <f t="shared" ref="E15" si="6">+H15+K15+N15</f>
        <v>64249544</v>
      </c>
      <c r="F15" s="35">
        <f t="shared" ref="F15" si="7">+I15+L15+O15</f>
        <v>0</v>
      </c>
      <c r="G15" s="36">
        <f t="shared" ref="G15" si="8">SUM(E15:F15)</f>
        <v>64249544</v>
      </c>
      <c r="H15" s="87"/>
      <c r="I15" s="88"/>
      <c r="J15" s="89"/>
      <c r="K15" s="39">
        <f>+'III.- PRESUPUESTO FINAL'!H14</f>
        <v>0</v>
      </c>
      <c r="L15" s="40"/>
      <c r="M15" s="41">
        <f t="shared" ref="M15" si="9">SUM(K15:L15)</f>
        <v>0</v>
      </c>
      <c r="N15" s="43">
        <f>+'III.- PRESUPUESTO FINAL'!I14</f>
        <v>64249544</v>
      </c>
      <c r="O15" s="40"/>
      <c r="P15" s="41">
        <f t="shared" si="5"/>
        <v>64249544</v>
      </c>
      <c r="Q15" s="4"/>
      <c r="R15" s="484"/>
      <c r="S15" s="484"/>
    </row>
    <row r="16" spans="1:19" ht="37.9" customHeight="1" thickBot="1">
      <c r="A16" s="3"/>
      <c r="B16" s="480"/>
      <c r="C16" s="483"/>
      <c r="D16" s="58" t="s">
        <v>118</v>
      </c>
      <c r="E16" s="52">
        <f t="shared" si="0"/>
        <v>24121422</v>
      </c>
      <c r="F16" s="53">
        <f t="shared" si="1"/>
        <v>0</v>
      </c>
      <c r="G16" s="54">
        <f t="shared" si="2"/>
        <v>24121422</v>
      </c>
      <c r="H16" s="59"/>
      <c r="I16" s="60"/>
      <c r="J16" s="61"/>
      <c r="K16" s="62">
        <f>+'III.- PRESUPUESTO FINAL'!H15</f>
        <v>0</v>
      </c>
      <c r="L16" s="63"/>
      <c r="M16" s="64">
        <f t="shared" si="4"/>
        <v>0</v>
      </c>
      <c r="N16" s="65">
        <f>+'III.- PRESUPUESTO FINAL'!I15</f>
        <v>24121422</v>
      </c>
      <c r="O16" s="63"/>
      <c r="P16" s="64">
        <f t="shared" si="5"/>
        <v>24121422</v>
      </c>
      <c r="Q16" s="4"/>
      <c r="R16" s="484"/>
      <c r="S16" s="484"/>
    </row>
    <row r="17" spans="1:17" ht="37.9" customHeight="1" thickBot="1">
      <c r="A17" s="1"/>
      <c r="B17" s="485"/>
      <c r="C17" s="486"/>
      <c r="D17" s="66" t="s">
        <v>90</v>
      </c>
      <c r="E17" s="67">
        <f t="shared" ref="E17:P17" si="10">SUM(E8:E16)</f>
        <v>606181459.57999992</v>
      </c>
      <c r="F17" s="68">
        <f t="shared" si="10"/>
        <v>0</v>
      </c>
      <c r="G17" s="69">
        <f t="shared" si="10"/>
        <v>606181459.57999992</v>
      </c>
      <c r="H17" s="67">
        <f t="shared" si="10"/>
        <v>393934904.57999998</v>
      </c>
      <c r="I17" s="68">
        <f t="shared" si="10"/>
        <v>0</v>
      </c>
      <c r="J17" s="69">
        <f t="shared" si="10"/>
        <v>393934904.57999998</v>
      </c>
      <c r="K17" s="67">
        <f t="shared" si="10"/>
        <v>117937788</v>
      </c>
      <c r="L17" s="70">
        <f t="shared" si="10"/>
        <v>0</v>
      </c>
      <c r="M17" s="69">
        <f t="shared" si="10"/>
        <v>117937788</v>
      </c>
      <c r="N17" s="71">
        <f t="shared" si="10"/>
        <v>94308767</v>
      </c>
      <c r="O17" s="70">
        <f t="shared" si="10"/>
        <v>0</v>
      </c>
      <c r="P17" s="69">
        <f t="shared" si="10"/>
        <v>94308767</v>
      </c>
      <c r="Q17" s="4"/>
    </row>
    <row r="18" spans="1:17">
      <c r="A18" s="1"/>
      <c r="B18" s="1"/>
      <c r="C18" s="1"/>
      <c r="D18" s="72"/>
      <c r="E18" s="1"/>
      <c r="F18" s="1"/>
      <c r="G18" s="1"/>
      <c r="H18" s="73"/>
      <c r="I18" s="73"/>
      <c r="J18" s="73"/>
      <c r="K18" s="73"/>
      <c r="L18" s="73"/>
      <c r="M18" s="73"/>
      <c r="N18" s="73"/>
      <c r="O18" s="73"/>
      <c r="P18" s="1"/>
      <c r="Q18" s="1"/>
    </row>
    <row r="20" spans="1:17" ht="31.15" customHeight="1">
      <c r="J20" s="90" t="str">
        <f>UPPER(J7)</f>
        <v>PRESUPUESTO MODIFICADO</v>
      </c>
    </row>
    <row r="21" spans="1:17" ht="22.15" customHeight="1">
      <c r="H21" s="75" t="s">
        <v>91</v>
      </c>
      <c r="I21" s="76"/>
      <c r="J21" s="77">
        <f>SUM($J$8:$J$9)</f>
        <v>323887735</v>
      </c>
    </row>
    <row r="22" spans="1:17" ht="22.15" customHeight="1">
      <c r="H22" s="75" t="s">
        <v>96</v>
      </c>
      <c r="I22" s="76"/>
      <c r="J22" s="77">
        <f>SUM($J$10:$J$13)</f>
        <v>70047169.579999998</v>
      </c>
    </row>
    <row r="23" spans="1:17" ht="22.15" customHeight="1">
      <c r="H23" s="76" t="s">
        <v>97</v>
      </c>
      <c r="I23" s="76"/>
      <c r="J23" s="78">
        <f>+IF(J21&gt;0,J22/J21,0)</f>
        <v>0.21626990469398294</v>
      </c>
    </row>
    <row r="26" spans="1:17" s="79" customFormat="1" ht="22.15" customHeight="1">
      <c r="E26" s="91"/>
      <c r="G26" s="2"/>
      <c r="H26" s="75" t="s">
        <v>91</v>
      </c>
      <c r="I26" s="76"/>
      <c r="J26" s="77">
        <f>SUM($G$8:$G$9)</f>
        <v>323887735</v>
      </c>
    </row>
    <row r="27" spans="1:17" s="79" customFormat="1" ht="22.15" customHeight="1">
      <c r="E27" s="91"/>
      <c r="G27" s="2"/>
      <c r="H27" s="464" t="s">
        <v>154</v>
      </c>
      <c r="I27" s="465"/>
      <c r="J27" s="77">
        <f>SUM($M$8:$M$10)+SUM($M$12:$M$14)</f>
        <v>107937788</v>
      </c>
      <c r="K27" s="78">
        <f>+IF($J$26&gt;0,J27/$J$26,0)</f>
        <v>0.33325679343801023</v>
      </c>
      <c r="L27" s="79" t="str">
        <f>IF(K27&lt;10%,"El Mínimo debe ser 10%","OK")</f>
        <v>OK</v>
      </c>
    </row>
    <row r="28" spans="1:17" s="79" customFormat="1" ht="22.15" customHeight="1">
      <c r="G28" s="2"/>
      <c r="H28" s="75" t="s">
        <v>155</v>
      </c>
      <c r="I28" s="76"/>
      <c r="J28" s="77">
        <f>+M17</f>
        <v>117937788</v>
      </c>
      <c r="K28" s="78">
        <f>+IF($J$26&gt;0,J28/$J$26,0)</f>
        <v>0.36413168902490239</v>
      </c>
    </row>
    <row r="29" spans="1:17" s="79" customFormat="1" ht="22.15" customHeight="1">
      <c r="E29" s="91"/>
      <c r="G29" s="2"/>
      <c r="H29" s="75" t="s">
        <v>156</v>
      </c>
      <c r="I29" s="76"/>
      <c r="J29" s="77">
        <f>+P17</f>
        <v>94308767</v>
      </c>
      <c r="K29" s="78">
        <f>+IF($J$26&gt;0,J29/$J$26,0)</f>
        <v>0.29117733340535418</v>
      </c>
    </row>
    <row r="30" spans="1:17" s="79" customFormat="1" ht="22.15" customHeight="1">
      <c r="E30" s="91"/>
      <c r="G30" s="2"/>
      <c r="H30" s="80" t="s">
        <v>157</v>
      </c>
      <c r="I30" s="81"/>
      <c r="J30" s="77">
        <f>SUM(J28:J29)</f>
        <v>212246555</v>
      </c>
      <c r="K30" s="78">
        <f>+IF($J$26&gt;0,J30/$J$26,0)</f>
        <v>0.65530902243025657</v>
      </c>
      <c r="L30" s="79" t="str">
        <f>IF(K30&lt;50%,"El Mínimo debe ser 50%","OK")</f>
        <v>OK</v>
      </c>
    </row>
  </sheetData>
  <sheetProtection algorithmName="SHA-512" hashValue="sh7KqjTP8sREvVQETvOSGzraQlj2O1frYSNa9rvSkCC9OmMB8S5Ao48S75UJfeb3LhTF6S97T6HGKTnv6ZVxGw==" saltValue="aNIfz+1SLzLBN/GymbZYPw==" spinCount="100000" sheet="1" selectLockedCells="1"/>
  <mergeCells count="18">
    <mergeCell ref="R14:S16"/>
    <mergeCell ref="B17:C17"/>
    <mergeCell ref="B7:C7"/>
    <mergeCell ref="B8:B9"/>
    <mergeCell ref="C8:C9"/>
    <mergeCell ref="B10:B13"/>
    <mergeCell ref="C10:C13"/>
    <mergeCell ref="R12:S13"/>
    <mergeCell ref="H27:I27"/>
    <mergeCell ref="B2:P2"/>
    <mergeCell ref="B3:P3"/>
    <mergeCell ref="B4:P4"/>
    <mergeCell ref="B6:D6"/>
    <mergeCell ref="E6:G6"/>
    <mergeCell ref="H6:J6"/>
    <mergeCell ref="K6:P6"/>
    <mergeCell ref="B14:B16"/>
    <mergeCell ref="C14:C16"/>
  </mergeCells>
  <conditionalFormatting sqref="E13">
    <cfRule type="containsText" dxfId="46" priority="35" operator="containsText" text="Este Sub Item">
      <formula>NOT(ISERROR(SEARCH("Este Sub Item",E13)))</formula>
    </cfRule>
    <cfRule type="containsText" dxfId="45" priority="36" operator="containsText" text="Este Item debe">
      <formula>NOT(ISERROR(SEARCH("Este Item debe",E13)))</formula>
    </cfRule>
  </conditionalFormatting>
  <conditionalFormatting sqref="E8:G9">
    <cfRule type="containsText" dxfId="44" priority="16" operator="containsText" text="Monto Excede">
      <formula>NOT(ISERROR(SEARCH("Monto Excede",E8)))</formula>
    </cfRule>
    <cfRule type="containsText" dxfId="43" priority="17" operator="containsText" text="M$50.000">
      <formula>NOT(ISERROR(SEARCH("M$50.000",E8)))</formula>
    </cfRule>
  </conditionalFormatting>
  <conditionalFormatting sqref="F13:G13">
    <cfRule type="containsText" dxfId="42" priority="18" operator="containsText" text="Este Sub-ítem">
      <formula>NOT(ISERROR(SEARCH("Este Sub-ítem",F13)))</formula>
    </cfRule>
  </conditionalFormatting>
  <conditionalFormatting sqref="H17:J17">
    <cfRule type="cellIs" dxfId="41" priority="1" operator="greaterThan">
      <formula>400000000</formula>
    </cfRule>
  </conditionalFormatting>
  <conditionalFormatting sqref="J23">
    <cfRule type="cellIs" dxfId="40" priority="14" stopIfTrue="1" operator="greaterThan">
      <formula>0.5</formula>
    </cfRule>
  </conditionalFormatting>
  <conditionalFormatting sqref="K27">
    <cfRule type="cellIs" dxfId="39" priority="5" stopIfTrue="1" operator="lessThan">
      <formula>0.1</formula>
    </cfRule>
  </conditionalFormatting>
  <conditionalFormatting sqref="K30">
    <cfRule type="cellIs" dxfId="38" priority="4" stopIfTrue="1" operator="lessThan">
      <formula>0.5</formula>
    </cfRule>
  </conditionalFormatting>
  <conditionalFormatting sqref="L27">
    <cfRule type="containsText" dxfId="37" priority="3" stopIfTrue="1" operator="containsText" text="El Mínimo debe ser 10%">
      <formula>NOT(ISERROR(SEARCH("El Mínimo debe ser 10%",L27)))</formula>
    </cfRule>
  </conditionalFormatting>
  <conditionalFormatting sqref="L30">
    <cfRule type="containsText" dxfId="36" priority="7" stopIfTrue="1" operator="containsText" text="El Mínimo debe ser 50%">
      <formula>NOT(ISERROR(SEARCH("El Mínimo debe ser 50%",L30)))</formula>
    </cfRule>
    <cfRule type="containsText" dxfId="35" priority="8" stopIfTrue="1" operator="containsText" text="El mímo debe ser 50%">
      <formula>NOT(ISERROR(SEARCH("El mímo debe ser 50%",L30)))</formula>
    </cfRule>
  </conditionalFormatting>
  <conditionalFormatting sqref="R12">
    <cfRule type="containsText" dxfId="34" priority="25" stopIfTrue="1" operator="containsText" text="Monto Item Equipamiento OK">
      <formula>NOT(ISERROR(SEARCH("Monto Item Equipamiento OK",R12)))</formula>
    </cfRule>
    <cfRule type="containsText" dxfId="33" priority="26" operator="containsText" text="$50.000.000">
      <formula>NOT(ISERROR(SEARCH("$50.000.000",R12)))</formula>
    </cfRule>
    <cfRule type="containsText" dxfId="32" priority="27" operator="containsText" text="Excede">
      <formula>NOT(ISERROR(SEARCH("Excede",R12)))</formula>
    </cfRule>
    <cfRule type="containsText" dxfId="31" priority="28" operator="containsText" text="M$50.000">
      <formula>NOT(ISERROR(SEARCH("M$50.000",R12)))</formula>
    </cfRule>
  </conditionalFormatting>
  <conditionalFormatting sqref="R14">
    <cfRule type="containsText" dxfId="30" priority="29" operator="containsText" text="$50.000.000">
      <formula>NOT(ISERROR(SEARCH("$50.000.000",R14)))</formula>
    </cfRule>
    <cfRule type="containsText" dxfId="29" priority="30" operator="containsText" text="Excede">
      <formula>NOT(ISERROR(SEARCH("Excede",R14)))</formula>
    </cfRule>
    <cfRule type="containsText" dxfId="28" priority="31" operator="containsText" text="M$50.000">
      <formula>NOT(ISERROR(SEARCH("M$50.000",R14)))</formula>
    </cfRule>
    <cfRule type="containsText" dxfId="27" priority="32" stopIfTrue="1" operator="containsText" text="Monto Item Equipamiento OK">
      <formula>NOT(ISERROR(SEARCH("Monto Item Equipamiento OK",R14)))</formula>
    </cfRule>
  </conditionalFormatting>
  <conditionalFormatting sqref="R12:S13">
    <cfRule type="containsText" dxfId="26" priority="24" stopIfTrue="1" operator="containsText" text="No puede tener">
      <formula>NOT(ISERROR(SEARCH("No puede tener",R12)))</formula>
    </cfRule>
  </conditionalFormatting>
  <conditionalFormatting sqref="R14:S16">
    <cfRule type="containsText" dxfId="25" priority="2" stopIfTrue="1" operator="containsText" text="No puede tener">
      <formula>NOT(ISERROR(SEARCH("No puede tener",R14)))</formula>
    </cfRule>
  </conditionalFormatting>
  <printOptions horizontalCentered="1"/>
  <pageMargins left="0" right="0" top="0.78740157480314965" bottom="0.78740157480314965" header="0" footer="0.59055118110236227"/>
  <pageSetup paperSize="5" scale="70" orientation="landscape" r:id="rId1"/>
  <headerFooter alignWithMargins="0">
    <oddFooter>&amp;L&amp;A - &amp;F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tabColor rgb="FF002060"/>
  </sheetPr>
  <dimension ref="A1:U29"/>
  <sheetViews>
    <sheetView showGridLines="0" topLeftCell="A2" zoomScale="90" zoomScaleNormal="90" workbookViewId="0">
      <pane xSplit="4" ySplit="6" topLeftCell="E8" activePane="bottomRight" state="frozen"/>
      <selection pane="bottomRight" activeCell="I9" sqref="I9"/>
      <selection pane="bottomLeft" activeCell="A8" sqref="A8"/>
      <selection pane="topRight" activeCell="E2" sqref="E2"/>
    </sheetView>
  </sheetViews>
  <sheetFormatPr defaultColWidth="11.42578125" defaultRowHeight="12"/>
  <cols>
    <col min="1" max="1" width="3" style="2" customWidth="1"/>
    <col min="2" max="2" width="3.85546875" style="2" customWidth="1"/>
    <col min="3" max="3" width="13.85546875" style="2" customWidth="1"/>
    <col min="4" max="4" width="32.7109375" style="2" customWidth="1"/>
    <col min="5" max="16" width="15.42578125" style="2" customWidth="1"/>
    <col min="17" max="17" width="3.42578125" style="2" customWidth="1"/>
    <col min="18" max="18" width="12.7109375" style="2" customWidth="1"/>
    <col min="19" max="19" width="17.42578125" style="2" customWidth="1"/>
    <col min="20" max="20" width="20.42578125" style="2" customWidth="1"/>
    <col min="21" max="21" width="16.5703125" style="2" hidden="1" customWidth="1"/>
    <col min="22" max="22" width="9.42578125" style="2" customWidth="1"/>
    <col min="23" max="16384" width="11.42578125" style="2"/>
  </cols>
  <sheetData>
    <row r="1" spans="1:19" ht="9" customHeight="1">
      <c r="A1" s="1"/>
      <c r="B1" s="1"/>
      <c r="C1" s="1"/>
      <c r="D1" s="1"/>
      <c r="E1" s="1"/>
      <c r="F1" s="1"/>
      <c r="G1" s="1"/>
      <c r="H1" s="1"/>
      <c r="I1" s="1"/>
      <c r="J1" s="1"/>
      <c r="K1" s="1"/>
      <c r="L1" s="1"/>
      <c r="M1" s="1"/>
      <c r="N1" s="1"/>
      <c r="O1" s="1"/>
      <c r="P1" s="1"/>
      <c r="Q1" s="1"/>
    </row>
    <row r="2" spans="1:19" s="84" customFormat="1" ht="28.5" customHeight="1">
      <c r="A2" s="83"/>
      <c r="B2" s="466" t="s">
        <v>158</v>
      </c>
      <c r="C2" s="466"/>
      <c r="D2" s="466"/>
      <c r="E2" s="466"/>
      <c r="F2" s="466"/>
      <c r="G2" s="466"/>
      <c r="H2" s="466"/>
      <c r="I2" s="466"/>
      <c r="J2" s="466"/>
      <c r="K2" s="466"/>
      <c r="L2" s="466"/>
      <c r="M2" s="466"/>
      <c r="N2" s="466"/>
      <c r="O2" s="466"/>
      <c r="P2" s="466"/>
      <c r="Q2" s="83"/>
    </row>
    <row r="3" spans="1:19" hidden="1">
      <c r="A3" s="1"/>
      <c r="B3" s="467"/>
      <c r="C3" s="467"/>
      <c r="D3" s="467"/>
      <c r="E3" s="467"/>
      <c r="F3" s="467"/>
      <c r="G3" s="467"/>
      <c r="H3" s="467"/>
      <c r="I3" s="467"/>
      <c r="J3" s="467"/>
      <c r="K3" s="467"/>
      <c r="L3" s="467"/>
      <c r="M3" s="467"/>
      <c r="N3" s="467"/>
      <c r="O3" s="467"/>
      <c r="P3" s="467"/>
      <c r="Q3" s="1"/>
    </row>
    <row r="4" spans="1:19" ht="9" customHeight="1" thickBot="1">
      <c r="A4" s="1"/>
      <c r="B4" s="468"/>
      <c r="C4" s="469"/>
      <c r="D4" s="469"/>
      <c r="E4" s="469"/>
      <c r="F4" s="469"/>
      <c r="G4" s="469"/>
      <c r="H4" s="469"/>
      <c r="I4" s="469"/>
      <c r="J4" s="469"/>
      <c r="K4" s="469"/>
      <c r="L4" s="469"/>
      <c r="M4" s="469"/>
      <c r="N4" s="469"/>
      <c r="O4" s="469"/>
      <c r="P4" s="469"/>
      <c r="Q4" s="1"/>
    </row>
    <row r="5" spans="1:19" ht="13.5" hidden="1" customHeight="1" thickBot="1">
      <c r="A5" s="1"/>
      <c r="B5" s="1"/>
      <c r="C5" s="1"/>
      <c r="D5" s="1"/>
      <c r="E5" s="1"/>
      <c r="F5" s="1"/>
      <c r="G5" s="1"/>
      <c r="H5" s="1"/>
      <c r="I5" s="1"/>
      <c r="J5" s="1"/>
      <c r="K5" s="1"/>
      <c r="L5" s="1"/>
      <c r="M5" s="1"/>
      <c r="N5" s="1"/>
      <c r="O5" s="1"/>
      <c r="P5" s="3"/>
      <c r="Q5" s="1"/>
    </row>
    <row r="6" spans="1:19" ht="25.5" customHeight="1" thickBot="1">
      <c r="A6" s="1"/>
      <c r="B6" s="470" t="s">
        <v>145</v>
      </c>
      <c r="C6" s="470"/>
      <c r="D6" s="471"/>
      <c r="E6" s="472" t="s">
        <v>128</v>
      </c>
      <c r="F6" s="473"/>
      <c r="G6" s="474"/>
      <c r="H6" s="472" t="s">
        <v>159</v>
      </c>
      <c r="I6" s="473"/>
      <c r="J6" s="474"/>
      <c r="K6" s="475" t="s">
        <v>123</v>
      </c>
      <c r="L6" s="476"/>
      <c r="M6" s="476"/>
      <c r="N6" s="476"/>
      <c r="O6" s="476"/>
      <c r="P6" s="477"/>
      <c r="Q6" s="4"/>
    </row>
    <row r="7" spans="1:19" ht="37.9" customHeight="1" thickBot="1">
      <c r="A7" s="3"/>
      <c r="B7" s="487" t="s">
        <v>107</v>
      </c>
      <c r="C7" s="488"/>
      <c r="D7" s="5" t="s">
        <v>108</v>
      </c>
      <c r="E7" s="6" t="s">
        <v>149</v>
      </c>
      <c r="F7" s="7" t="s">
        <v>160</v>
      </c>
      <c r="G7" s="8" t="s">
        <v>161</v>
      </c>
      <c r="H7" s="6" t="s">
        <v>149</v>
      </c>
      <c r="I7" s="7" t="s">
        <v>160</v>
      </c>
      <c r="J7" s="8" t="s">
        <v>161</v>
      </c>
      <c r="K7" s="6" t="s">
        <v>151</v>
      </c>
      <c r="L7" s="7" t="s">
        <v>160</v>
      </c>
      <c r="M7" s="8" t="s">
        <v>161</v>
      </c>
      <c r="N7" s="6" t="s">
        <v>153</v>
      </c>
      <c r="O7" s="5" t="s">
        <v>160</v>
      </c>
      <c r="P7" s="8" t="s">
        <v>161</v>
      </c>
      <c r="Q7" s="4"/>
    </row>
    <row r="8" spans="1:19" ht="37.9" customHeight="1">
      <c r="A8" s="3"/>
      <c r="B8" s="489" t="s">
        <v>112</v>
      </c>
      <c r="C8" s="491" t="s">
        <v>111</v>
      </c>
      <c r="D8" s="9" t="s">
        <v>80</v>
      </c>
      <c r="E8" s="10">
        <f t="shared" ref="E8:E16" si="0">+H8+K8+N8</f>
        <v>321863735</v>
      </c>
      <c r="F8" s="11">
        <f t="shared" ref="F8:F16" si="1">+I8+L8+O8</f>
        <v>0</v>
      </c>
      <c r="G8" s="12">
        <f t="shared" ref="G8:G16" si="2">+J8+M8+P8</f>
        <v>321863735</v>
      </c>
      <c r="H8" s="13">
        <f>+'PRESUPUESTO MODIFICADO'!J8</f>
        <v>321863735</v>
      </c>
      <c r="I8" s="14">
        <f>SUMIF('USO INT. DESGLOSE FACTURAS'!$A$4:$A$10,'SALDOS '!$D8,'USO INT. DESGLOSE FACTURAS'!$S$4:$S$10)</f>
        <v>0</v>
      </c>
      <c r="J8" s="15">
        <f t="shared" ref="J8:J13" si="3">+H8-I8</f>
        <v>321863735</v>
      </c>
      <c r="K8" s="13">
        <f>+'PRESUPUESTO MODIFICADO'!M8</f>
        <v>0</v>
      </c>
      <c r="L8" s="14">
        <f>SUMIF('USO INT. DESGLOSE FACTURAS'!$A$4:$A$10,'SALDOS '!$D8,'USO INT. DESGLOSE FACTURAS'!$T$4:$T$10)</f>
        <v>0</v>
      </c>
      <c r="M8" s="17">
        <f t="shared" ref="M8:M16" si="4">+K8-L8</f>
        <v>0</v>
      </c>
      <c r="N8" s="18"/>
      <c r="O8" s="19"/>
      <c r="P8" s="20"/>
      <c r="Q8" s="4"/>
      <c r="S8" s="21"/>
    </row>
    <row r="9" spans="1:19" ht="37.9" customHeight="1">
      <c r="A9" s="3"/>
      <c r="B9" s="490"/>
      <c r="C9" s="481"/>
      <c r="D9" s="22" t="s">
        <v>32</v>
      </c>
      <c r="E9" s="23">
        <f t="shared" si="0"/>
        <v>2024000</v>
      </c>
      <c r="F9" s="24">
        <f t="shared" si="1"/>
        <v>0</v>
      </c>
      <c r="G9" s="25">
        <f t="shared" si="2"/>
        <v>2024000</v>
      </c>
      <c r="H9" s="26">
        <f>+'PRESUPUESTO MODIFICADO'!J9</f>
        <v>2024000</v>
      </c>
      <c r="I9" s="27">
        <f>SUMIF('USO INT. DESGLOSE FACTURAS'!$A$4:$A$10,'SALDOS '!$D9,'USO INT. DESGLOSE FACTURAS'!$S$4:$S$10)</f>
        <v>0</v>
      </c>
      <c r="J9" s="28">
        <f t="shared" si="3"/>
        <v>2024000</v>
      </c>
      <c r="K9" s="26">
        <f>+'PRESUPUESTO MODIFICADO'!M9</f>
        <v>0</v>
      </c>
      <c r="L9" s="27">
        <f>SUMIF('USO INT. DESGLOSE FACTURAS'!$A$4:$A$10,'SALDOS '!$D9,'USO INT. DESGLOSE FACTURAS'!$T$4:$T$10)</f>
        <v>0</v>
      </c>
      <c r="M9" s="30">
        <f t="shared" si="4"/>
        <v>0</v>
      </c>
      <c r="N9" s="31"/>
      <c r="O9" s="32"/>
      <c r="P9" s="33"/>
      <c r="Q9" s="4"/>
      <c r="S9" s="21"/>
    </row>
    <row r="10" spans="1:19" ht="37.9" customHeight="1">
      <c r="A10" s="3"/>
      <c r="B10" s="490" t="s">
        <v>113</v>
      </c>
      <c r="C10" s="481" t="s">
        <v>114</v>
      </c>
      <c r="D10" s="22" t="s">
        <v>68</v>
      </c>
      <c r="E10" s="34">
        <f t="shared" si="0"/>
        <v>145457657.57999998</v>
      </c>
      <c r="F10" s="35">
        <f t="shared" si="1"/>
        <v>0</v>
      </c>
      <c r="G10" s="36">
        <f t="shared" si="2"/>
        <v>145457657.57999998</v>
      </c>
      <c r="H10" s="26">
        <f>+'PRESUPUESTO MODIFICADO'!J10</f>
        <v>70047169.579999998</v>
      </c>
      <c r="I10" s="37">
        <f>SUMIF('USO INT. DESGLOSE FACTURAS'!$A$4:$A$10,'SALDOS '!$D10,'USO INT. DESGLOSE FACTURAS'!$S$4:$S$10)</f>
        <v>0</v>
      </c>
      <c r="J10" s="38">
        <f t="shared" si="3"/>
        <v>70047169.579999998</v>
      </c>
      <c r="K10" s="39">
        <f>+'PRESUPUESTO MODIFICADO'!M10</f>
        <v>75410488</v>
      </c>
      <c r="L10" s="37">
        <f>SUMIF('USO INT. DESGLOSE FACTURAS'!$A$4:$A$10,'SALDOS '!$D10,'USO INT. DESGLOSE FACTURAS'!$T$4:$T$10)</f>
        <v>0</v>
      </c>
      <c r="M10" s="41">
        <f t="shared" si="4"/>
        <v>75410488</v>
      </c>
      <c r="N10" s="31"/>
      <c r="O10" s="32"/>
      <c r="P10" s="33"/>
      <c r="Q10" s="4"/>
      <c r="S10" s="42"/>
    </row>
    <row r="11" spans="1:19" ht="37.9" customHeight="1">
      <c r="A11" s="3"/>
      <c r="B11" s="490"/>
      <c r="C11" s="481"/>
      <c r="D11" s="22" t="s">
        <v>84</v>
      </c>
      <c r="E11" s="34">
        <f t="shared" si="0"/>
        <v>10000000</v>
      </c>
      <c r="F11" s="35">
        <f t="shared" si="1"/>
        <v>0</v>
      </c>
      <c r="G11" s="36">
        <f t="shared" si="2"/>
        <v>10000000</v>
      </c>
      <c r="H11" s="26">
        <f>+'PRESUPUESTO MODIFICADO'!J11</f>
        <v>0</v>
      </c>
      <c r="I11" s="37">
        <f>SUMIF('USO INT. DESGLOSE FACTURAS'!$A$4:$A$10,'SALDOS '!$D11,'USO INT. DESGLOSE FACTURAS'!$S$4:$S$10)</f>
        <v>0</v>
      </c>
      <c r="J11" s="38">
        <f t="shared" si="3"/>
        <v>0</v>
      </c>
      <c r="K11" s="39">
        <f>+'PRESUPUESTO MODIFICADO'!M11</f>
        <v>10000000</v>
      </c>
      <c r="L11" s="37">
        <f>SUMIF('USO INT. DESGLOSE FACTURAS'!$A$4:$A$10,'SALDOS '!$D11,'USO INT. DESGLOSE FACTURAS'!$T$4:$T$10)</f>
        <v>0</v>
      </c>
      <c r="M11" s="41">
        <f t="shared" si="4"/>
        <v>10000000</v>
      </c>
      <c r="N11" s="43">
        <f>+'PRESUPUESTO MODIFICADO'!P11</f>
        <v>0</v>
      </c>
      <c r="O11" s="40"/>
      <c r="P11" s="41">
        <f t="shared" ref="P11:P16" si="5">+N11-O11</f>
        <v>0</v>
      </c>
      <c r="Q11" s="4"/>
    </row>
    <row r="12" spans="1:19" ht="37.9" customHeight="1">
      <c r="A12" s="3"/>
      <c r="B12" s="490"/>
      <c r="C12" s="481"/>
      <c r="D12" s="22" t="s">
        <v>69</v>
      </c>
      <c r="E12" s="34">
        <f t="shared" si="0"/>
        <v>3000000</v>
      </c>
      <c r="F12" s="35">
        <f t="shared" si="1"/>
        <v>0</v>
      </c>
      <c r="G12" s="36">
        <f t="shared" si="2"/>
        <v>3000000</v>
      </c>
      <c r="H12" s="26">
        <f>+'PRESUPUESTO MODIFICADO'!J12</f>
        <v>0</v>
      </c>
      <c r="I12" s="37">
        <f>SUMIF('USO INT. DESGLOSE FACTURAS'!$A$4:$A$10,'SALDOS '!$D12,'USO INT. DESGLOSE FACTURAS'!$S$4:$S$10)</f>
        <v>0</v>
      </c>
      <c r="J12" s="38">
        <f t="shared" si="3"/>
        <v>0</v>
      </c>
      <c r="K12" s="39">
        <f>+'PRESUPUESTO MODIFICADO'!M12</f>
        <v>3000000</v>
      </c>
      <c r="L12" s="37">
        <f>SUMIF('USO INT. DESGLOSE FACTURAS'!$A$4:$A$10,'SALDOS '!$D12,'USO INT. DESGLOSE FACTURAS'!$T$4:$T$10)</f>
        <v>0</v>
      </c>
      <c r="M12" s="41">
        <f t="shared" si="4"/>
        <v>3000000</v>
      </c>
      <c r="N12" s="43">
        <f>+'PRESUPUESTO MODIFICADO'!P12</f>
        <v>0</v>
      </c>
      <c r="O12" s="40"/>
      <c r="P12" s="41">
        <f t="shared" si="5"/>
        <v>0</v>
      </c>
      <c r="Q12" s="4"/>
      <c r="R12" s="484" t="str">
        <f>IF(H12="","No puede tener celdas vacías",IF(H13="","No puede tener celdas vacías",IF(K12="","No puede tener celdas vacías",IF(K13="","No puede tener celdas vacías",IF(P11="","No puede tener celdas vacías",IF(P12="","No puede tener celdas vacías",IF(P13="","No puede tener celdas vacías","")))))))</f>
        <v/>
      </c>
      <c r="S12" s="484"/>
    </row>
    <row r="13" spans="1:19" ht="37.9" customHeight="1">
      <c r="A13" s="3"/>
      <c r="B13" s="490"/>
      <c r="C13" s="481"/>
      <c r="D13" s="22" t="s">
        <v>70</v>
      </c>
      <c r="E13" s="44">
        <f t="shared" si="0"/>
        <v>3757801</v>
      </c>
      <c r="F13" s="45" t="str">
        <f>IF(SUM(I13+L13+O13)=0,"Este Sub-ítem debe tener Presupuesto",SUM(I13+L13+O13))</f>
        <v>Este Sub-ítem debe tener Presupuesto</v>
      </c>
      <c r="G13" s="45">
        <f>+J13+M13+P13</f>
        <v>3757801</v>
      </c>
      <c r="H13" s="26">
        <f>+'PRESUPUESTO MODIFICADO'!J13</f>
        <v>0</v>
      </c>
      <c r="I13" s="37">
        <f>SUMIF('USO INT. DESGLOSE FACTURAS'!$A$4:$A$10,'SALDOS '!$D13,'USO INT. DESGLOSE FACTURAS'!$S$4:$S$10)</f>
        <v>0</v>
      </c>
      <c r="J13" s="38">
        <f t="shared" si="3"/>
        <v>0</v>
      </c>
      <c r="K13" s="39">
        <f>+'PRESUPUESTO MODIFICADO'!M13</f>
        <v>0</v>
      </c>
      <c r="L13" s="37">
        <f>SUMIF('USO INT. DESGLOSE FACTURAS'!$A$4:$A$10,'SALDOS '!$D13,'USO INT. DESGLOSE FACTURAS'!$T$4:$T$10)</f>
        <v>0</v>
      </c>
      <c r="M13" s="41">
        <f t="shared" si="4"/>
        <v>0</v>
      </c>
      <c r="N13" s="43">
        <f>+'PRESUPUESTO MODIFICADO'!P13</f>
        <v>3757801</v>
      </c>
      <c r="O13" s="40"/>
      <c r="P13" s="41">
        <f t="shared" si="5"/>
        <v>3757801</v>
      </c>
      <c r="Q13" s="4"/>
      <c r="R13" s="484"/>
      <c r="S13" s="484"/>
    </row>
    <row r="14" spans="1:19" ht="37.9" customHeight="1">
      <c r="A14" s="3"/>
      <c r="B14" s="478" t="s">
        <v>116</v>
      </c>
      <c r="C14" s="481" t="s">
        <v>117</v>
      </c>
      <c r="D14" s="22" t="s">
        <v>71</v>
      </c>
      <c r="E14" s="46">
        <f t="shared" si="0"/>
        <v>31707300</v>
      </c>
      <c r="F14" s="47">
        <f t="shared" si="1"/>
        <v>0</v>
      </c>
      <c r="G14" s="48">
        <f t="shared" si="2"/>
        <v>31707300</v>
      </c>
      <c r="H14" s="49"/>
      <c r="I14" s="50"/>
      <c r="J14" s="51"/>
      <c r="K14" s="39">
        <f>+'PRESUPUESTO MODIFICADO'!M14</f>
        <v>29527300</v>
      </c>
      <c r="L14" s="40">
        <f>SUMIF('USO INT. DESGLOSE FACTURAS'!$A$4:$A$10,'SALDOS '!$D14,'USO INT. DESGLOSE FACTURAS'!$T$4:$T$10)</f>
        <v>0</v>
      </c>
      <c r="M14" s="41">
        <f t="shared" si="4"/>
        <v>29527300</v>
      </c>
      <c r="N14" s="43">
        <f>+'PRESUPUESTO MODIFICADO'!P14</f>
        <v>2180000</v>
      </c>
      <c r="O14" s="40"/>
      <c r="P14" s="41">
        <f t="shared" si="5"/>
        <v>2180000</v>
      </c>
      <c r="Q14" s="4"/>
      <c r="R14" s="484" t="str">
        <f>IF(K14="","No puede tener celdas vacías",IF(K16="","No puede tener celdas vacías",IF(P14="","No puede tener celdas vacías",IF(P16="","No puede tener celdas vacías",""))))</f>
        <v/>
      </c>
      <c r="S14" s="484"/>
    </row>
    <row r="15" spans="1:19" ht="37.9" customHeight="1">
      <c r="A15" s="3"/>
      <c r="B15" s="479"/>
      <c r="C15" s="482"/>
      <c r="D15" s="22" t="s">
        <v>87</v>
      </c>
      <c r="E15" s="52">
        <f t="shared" ref="E15" si="6">+H15+K15+N15</f>
        <v>64249544</v>
      </c>
      <c r="F15" s="53">
        <f t="shared" ref="F15" si="7">+I15+L15+O15</f>
        <v>0</v>
      </c>
      <c r="G15" s="54">
        <f t="shared" ref="G15" si="8">+J15+M15+P15</f>
        <v>64249544</v>
      </c>
      <c r="H15" s="55"/>
      <c r="I15" s="56"/>
      <c r="J15" s="57"/>
      <c r="K15" s="39">
        <f>+'PRESUPUESTO MODIFICADO'!M15</f>
        <v>0</v>
      </c>
      <c r="L15" s="40">
        <f>SUMIF('USO INT. DESGLOSE FACTURAS'!$A$4:$A$10,'SALDOS '!$D15,'USO INT. DESGLOSE FACTURAS'!$T$4:$T$10)</f>
        <v>0</v>
      </c>
      <c r="M15" s="41">
        <f t="shared" ref="M15" si="9">+K15-L15</f>
        <v>0</v>
      </c>
      <c r="N15" s="43">
        <f>+'PRESUPUESTO MODIFICADO'!P15</f>
        <v>64249544</v>
      </c>
      <c r="O15" s="40"/>
      <c r="P15" s="41">
        <f t="shared" si="5"/>
        <v>64249544</v>
      </c>
      <c r="Q15" s="4"/>
      <c r="R15" s="484"/>
      <c r="S15" s="484"/>
    </row>
    <row r="16" spans="1:19" ht="37.9" customHeight="1" thickBot="1">
      <c r="A16" s="3"/>
      <c r="B16" s="480"/>
      <c r="C16" s="483"/>
      <c r="D16" s="58" t="s">
        <v>118</v>
      </c>
      <c r="E16" s="52">
        <f t="shared" si="0"/>
        <v>24121422</v>
      </c>
      <c r="F16" s="53">
        <f t="shared" si="1"/>
        <v>0</v>
      </c>
      <c r="G16" s="54">
        <f t="shared" si="2"/>
        <v>24121422</v>
      </c>
      <c r="H16" s="59"/>
      <c r="I16" s="60"/>
      <c r="J16" s="61"/>
      <c r="K16" s="62">
        <f>+'PRESUPUESTO MODIFICADO'!M16</f>
        <v>0</v>
      </c>
      <c r="L16" s="63">
        <f>SUMIF('USO INT. DESGLOSE FACTURAS'!$A$4:$A$10,'SALDOS '!$D16,'USO INT. DESGLOSE FACTURAS'!$T$4:$T$10)</f>
        <v>0</v>
      </c>
      <c r="M16" s="64">
        <f t="shared" si="4"/>
        <v>0</v>
      </c>
      <c r="N16" s="65">
        <f>+'PRESUPUESTO MODIFICADO'!P16</f>
        <v>24121422</v>
      </c>
      <c r="O16" s="63"/>
      <c r="P16" s="64">
        <f t="shared" si="5"/>
        <v>24121422</v>
      </c>
      <c r="Q16" s="4"/>
      <c r="R16" s="484"/>
      <c r="S16" s="484"/>
    </row>
    <row r="17" spans="1:17" ht="37.9" customHeight="1" thickBot="1">
      <c r="A17" s="1"/>
      <c r="B17" s="485"/>
      <c r="C17" s="486"/>
      <c r="D17" s="66" t="s">
        <v>90</v>
      </c>
      <c r="E17" s="67">
        <f t="shared" ref="E17:P17" si="10">SUM(E8:E16)</f>
        <v>606181459.57999992</v>
      </c>
      <c r="F17" s="68">
        <f t="shared" si="10"/>
        <v>0</v>
      </c>
      <c r="G17" s="69">
        <f t="shared" si="10"/>
        <v>606181459.57999992</v>
      </c>
      <c r="H17" s="67">
        <f t="shared" si="10"/>
        <v>393934904.57999998</v>
      </c>
      <c r="I17" s="68">
        <f t="shared" si="10"/>
        <v>0</v>
      </c>
      <c r="J17" s="69">
        <f t="shared" si="10"/>
        <v>393934904.57999998</v>
      </c>
      <c r="K17" s="67">
        <f t="shared" si="10"/>
        <v>117937788</v>
      </c>
      <c r="L17" s="70">
        <f t="shared" si="10"/>
        <v>0</v>
      </c>
      <c r="M17" s="69">
        <f t="shared" si="10"/>
        <v>117937788</v>
      </c>
      <c r="N17" s="71">
        <f t="shared" si="10"/>
        <v>94308767</v>
      </c>
      <c r="O17" s="70">
        <f t="shared" si="10"/>
        <v>0</v>
      </c>
      <c r="P17" s="69">
        <f t="shared" si="10"/>
        <v>94308767</v>
      </c>
      <c r="Q17" s="4"/>
    </row>
    <row r="18" spans="1:17">
      <c r="A18" s="1"/>
      <c r="B18" s="1"/>
      <c r="C18" s="1"/>
      <c r="D18" s="72"/>
      <c r="E18" s="1"/>
      <c r="F18" s="1"/>
      <c r="G18" s="1"/>
      <c r="H18" s="73"/>
      <c r="I18" s="73"/>
      <c r="J18" s="73"/>
      <c r="K18" s="73"/>
      <c r="L18" s="73"/>
      <c r="M18" s="73"/>
      <c r="N18" s="73"/>
      <c r="O18" s="73"/>
      <c r="P18" s="1"/>
      <c r="Q18" s="1"/>
    </row>
    <row r="19" spans="1:17" ht="21" customHeight="1">
      <c r="I19" s="74" t="s">
        <v>162</v>
      </c>
    </row>
    <row r="20" spans="1:17" ht="20.45" customHeight="1">
      <c r="G20" s="75" t="s">
        <v>91</v>
      </c>
      <c r="H20" s="76"/>
      <c r="I20" s="77">
        <f>SUM($I$8:$I$9)</f>
        <v>0</v>
      </c>
    </row>
    <row r="21" spans="1:17" ht="20.45" customHeight="1">
      <c r="G21" s="75" t="s">
        <v>96</v>
      </c>
      <c r="H21" s="76"/>
      <c r="I21" s="77">
        <f>SUM($I$10:$I$13)</f>
        <v>0</v>
      </c>
    </row>
    <row r="22" spans="1:17" ht="20.45" customHeight="1">
      <c r="G22" s="76" t="s">
        <v>97</v>
      </c>
      <c r="H22" s="76"/>
      <c r="I22" s="78">
        <f>+IF(I20&gt;0,I21/I20,0)</f>
        <v>0</v>
      </c>
    </row>
    <row r="25" spans="1:17" ht="21" customHeight="1">
      <c r="G25" s="75" t="s">
        <v>91</v>
      </c>
      <c r="H25" s="76"/>
      <c r="I25" s="77">
        <f>SUM($F$8:$F$9)</f>
        <v>0</v>
      </c>
      <c r="K25" s="79"/>
    </row>
    <row r="26" spans="1:17" ht="21" customHeight="1">
      <c r="G26" s="464" t="s">
        <v>163</v>
      </c>
      <c r="H26" s="465"/>
      <c r="I26" s="77">
        <f>SUM($L$8:$L$10)+SUM($L$12:$L$14)</f>
        <v>0</v>
      </c>
      <c r="J26" s="78">
        <f>+IF($I$25&gt;0,I26/$I$25,0)</f>
        <v>0</v>
      </c>
      <c r="K26" s="79" t="str">
        <f>IF(J26&lt;10%,"El Mínimo debe ser 10%","OK")</f>
        <v>El Mínimo debe ser 10%</v>
      </c>
    </row>
    <row r="27" spans="1:17" ht="21" customHeight="1">
      <c r="G27" s="75" t="s">
        <v>155</v>
      </c>
      <c r="H27" s="76"/>
      <c r="I27" s="77">
        <f>+$L$17</f>
        <v>0</v>
      </c>
      <c r="J27" s="78">
        <f>+IF($I$25&gt;0,I27/$I$25,0)</f>
        <v>0</v>
      </c>
      <c r="K27" s="79"/>
    </row>
    <row r="28" spans="1:17" ht="21" customHeight="1">
      <c r="G28" s="75" t="s">
        <v>156</v>
      </c>
      <c r="H28" s="76"/>
      <c r="I28" s="77">
        <f>+$O$17</f>
        <v>0</v>
      </c>
      <c r="J28" s="78">
        <f>+IF($I$25&gt;0,I28/$I$25,0)</f>
        <v>0</v>
      </c>
      <c r="K28" s="79"/>
    </row>
    <row r="29" spans="1:17" ht="21" customHeight="1">
      <c r="G29" s="80" t="s">
        <v>157</v>
      </c>
      <c r="H29" s="81"/>
      <c r="I29" s="77">
        <f>SUM(I27:I28)</f>
        <v>0</v>
      </c>
      <c r="J29" s="78">
        <f>+IF($I$25&gt;0,I29/$I$25,0)</f>
        <v>0</v>
      </c>
      <c r="K29" s="79" t="str">
        <f>IF(J29&lt;50%,"El Mínimo debe ser 50%","OK")</f>
        <v>El Mínimo debe ser 50%</v>
      </c>
    </row>
  </sheetData>
  <sheetProtection algorithmName="SHA-512" hashValue="8vyxUtDN/dMat3UcttdQ5/eDwmLhxjpz5ZDovae/o/CSAC+UxQCHLuXBSXi+9PnHMscmI1XmeLv+55OAw7TKzA==" saltValue="hZVd5iUeQh/DwmnNDogP4Q==" spinCount="100000" sheet="1" selectLockedCells="1"/>
  <mergeCells count="18">
    <mergeCell ref="R12:S13"/>
    <mergeCell ref="B14:B16"/>
    <mergeCell ref="C14:C16"/>
    <mergeCell ref="R14:S16"/>
    <mergeCell ref="B17:C17"/>
    <mergeCell ref="B10:B13"/>
    <mergeCell ref="C10:C13"/>
    <mergeCell ref="B2:P2"/>
    <mergeCell ref="B3:P3"/>
    <mergeCell ref="B4:P4"/>
    <mergeCell ref="B6:D6"/>
    <mergeCell ref="K6:P6"/>
    <mergeCell ref="G26:H26"/>
    <mergeCell ref="B7:C7"/>
    <mergeCell ref="H6:J6"/>
    <mergeCell ref="E6:G6"/>
    <mergeCell ref="B8:B9"/>
    <mergeCell ref="C8:C9"/>
  </mergeCells>
  <conditionalFormatting sqref="E13">
    <cfRule type="containsText" dxfId="24" priority="25" operator="containsText" text="Este Sub Item">
      <formula>NOT(ISERROR(SEARCH("Este Sub Item",E13)))</formula>
    </cfRule>
    <cfRule type="containsText" dxfId="23" priority="26" operator="containsText" text="Este Item debe">
      <formula>NOT(ISERROR(SEARCH("Este Item debe",E13)))</formula>
    </cfRule>
  </conditionalFormatting>
  <conditionalFormatting sqref="E8:G9">
    <cfRule type="containsText" dxfId="22" priority="6" operator="containsText" text="Monto Excede">
      <formula>NOT(ISERROR(SEARCH("Monto Excede",E8)))</formula>
    </cfRule>
    <cfRule type="containsText" dxfId="21" priority="7" operator="containsText" text="M$50.000">
      <formula>NOT(ISERROR(SEARCH("M$50.000",E8)))</formula>
    </cfRule>
  </conditionalFormatting>
  <conditionalFormatting sqref="F13">
    <cfRule type="containsText" dxfId="20" priority="3" operator="containsText" text="Este Sub-ítem">
      <formula>NOT(ISERROR(SEARCH("Este Sub-ítem",F13)))</formula>
    </cfRule>
  </conditionalFormatting>
  <conditionalFormatting sqref="G13">
    <cfRule type="containsText" dxfId="19" priority="8" operator="containsText" text="Este Sub Item">
      <formula>NOT(ISERROR(SEARCH("Este Sub Item",G13)))</formula>
    </cfRule>
    <cfRule type="containsText" dxfId="18" priority="9" operator="containsText" text="Este Item debe">
      <formula>NOT(ISERROR(SEARCH("Este Item debe",G13)))</formula>
    </cfRule>
  </conditionalFormatting>
  <conditionalFormatting sqref="H17:J17">
    <cfRule type="cellIs" dxfId="17" priority="30" operator="greaterThan">
      <formula>400000000</formula>
    </cfRule>
  </conditionalFormatting>
  <conditionalFormatting sqref="I22">
    <cfRule type="cellIs" dxfId="16" priority="34" stopIfTrue="1" operator="greaterThan">
      <formula>0.5</formula>
    </cfRule>
  </conditionalFormatting>
  <conditionalFormatting sqref="J26">
    <cfRule type="cellIs" dxfId="15" priority="5" stopIfTrue="1" operator="lessThan">
      <formula>0.1</formula>
    </cfRule>
  </conditionalFormatting>
  <conditionalFormatting sqref="J29">
    <cfRule type="cellIs" dxfId="14" priority="4" stopIfTrue="1" operator="lessThan">
      <formula>0.5</formula>
    </cfRule>
  </conditionalFormatting>
  <conditionalFormatting sqref="K26">
    <cfRule type="containsText" dxfId="13" priority="2" stopIfTrue="1" operator="containsText" text="El Mínimo debe ser 10%">
      <formula>NOT(ISERROR(SEARCH("El Mínimo debe ser 10%",K26)))</formula>
    </cfRule>
  </conditionalFormatting>
  <conditionalFormatting sqref="K29">
    <cfRule type="containsText" dxfId="12" priority="31" stopIfTrue="1" operator="containsText" text="El Mínimo debe ser 50%">
      <formula>NOT(ISERROR(SEARCH("El Mínimo debe ser 50%",K29)))</formula>
    </cfRule>
  </conditionalFormatting>
  <conditionalFormatting sqref="K17:O17">
    <cfRule type="containsText" dxfId="11" priority="12" operator="containsText" text="Debe ser">
      <formula>NOT(ISERROR(SEARCH("Debe ser",K17)))</formula>
    </cfRule>
  </conditionalFormatting>
  <conditionalFormatting sqref="P17">
    <cfRule type="containsText" dxfId="10" priority="29" operator="containsText" text="50%">
      <formula>NOT(ISERROR(SEARCH("50%",P17)))</formula>
    </cfRule>
  </conditionalFormatting>
  <conditionalFormatting sqref="R12">
    <cfRule type="containsText" dxfId="9" priority="15" stopIfTrue="1" operator="containsText" text="Monto Item Equipamiento OK">
      <formula>NOT(ISERROR(SEARCH("Monto Item Equipamiento OK",R12)))</formula>
    </cfRule>
    <cfRule type="containsText" dxfId="8" priority="16" operator="containsText" text="$50.000.000">
      <formula>NOT(ISERROR(SEARCH("$50.000.000",R12)))</formula>
    </cfRule>
    <cfRule type="containsText" dxfId="7" priority="17" operator="containsText" text="Excede">
      <formula>NOT(ISERROR(SEARCH("Excede",R12)))</formula>
    </cfRule>
    <cfRule type="containsText" dxfId="6" priority="18" operator="containsText" text="M$50.000">
      <formula>NOT(ISERROR(SEARCH("M$50.000",R12)))</formula>
    </cfRule>
  </conditionalFormatting>
  <conditionalFormatting sqref="R14:R15">
    <cfRule type="containsText" dxfId="5" priority="19" operator="containsText" text="$50.000.000">
      <formula>NOT(ISERROR(SEARCH("$50.000.000",R14)))</formula>
    </cfRule>
    <cfRule type="containsText" dxfId="4" priority="20" operator="containsText" text="Excede">
      <formula>NOT(ISERROR(SEARCH("Excede",R14)))</formula>
    </cfRule>
    <cfRule type="containsText" dxfId="3" priority="21" operator="containsText" text="M$50.000">
      <formula>NOT(ISERROR(SEARCH("M$50.000",R14)))</formula>
    </cfRule>
    <cfRule type="containsText" dxfId="2" priority="22" stopIfTrue="1" operator="containsText" text="Monto Item Equipamiento OK">
      <formula>NOT(ISERROR(SEARCH("Monto Item Equipamiento OK",R14)))</formula>
    </cfRule>
  </conditionalFormatting>
  <conditionalFormatting sqref="R12:S13">
    <cfRule type="containsText" dxfId="1" priority="14" stopIfTrue="1" operator="containsText" text="No puede tener">
      <formula>NOT(ISERROR(SEARCH("No puede tener",R12)))</formula>
    </cfRule>
  </conditionalFormatting>
  <conditionalFormatting sqref="R14:S16">
    <cfRule type="containsText" dxfId="0" priority="13" stopIfTrue="1" operator="containsText" text="No puede tener">
      <formula>NOT(ISERROR(SEARCH("No puede tener",R14)))</formula>
    </cfRule>
  </conditionalFormatting>
  <printOptions horizontalCentered="1"/>
  <pageMargins left="0" right="0" top="0.78740157480314965" bottom="0.78740157480314965" header="0" footer="0.59055118110236227"/>
  <pageSetup paperSize="5" scale="70" orientation="landscape" r:id="rId1"/>
  <headerFooter alignWithMargins="0">
    <oddFooter>&amp;L&amp;A - &amp;F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f9ee4f-d874-4566-a6bd-f47c69edf255">
      <Terms xmlns="http://schemas.microsoft.com/office/infopath/2007/PartnerControls"/>
    </lcf76f155ced4ddcb4097134ff3c332f>
    <TaxCatchAll xmlns="fefe5a87-0f61-49d2-ad0e-d99b6b899f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3E636E5ADFFDD4593589394D25615CE" ma:contentTypeVersion="18" ma:contentTypeDescription="Crear nuevo documento." ma:contentTypeScope="" ma:versionID="a6deb3d86834c1f18dba81e29cab2fe0">
  <xsd:schema xmlns:xsd="http://www.w3.org/2001/XMLSchema" xmlns:xs="http://www.w3.org/2001/XMLSchema" xmlns:p="http://schemas.microsoft.com/office/2006/metadata/properties" xmlns:ns2="adf9ee4f-d874-4566-a6bd-f47c69edf255" xmlns:ns3="fefe5a87-0f61-49d2-ad0e-d99b6b899f8d" targetNamespace="http://schemas.microsoft.com/office/2006/metadata/properties" ma:root="true" ma:fieldsID="d8dbfd13dc700bf37344edb588a7d1bf" ns2:_="" ns3:_="">
    <xsd:import namespace="adf9ee4f-d874-4566-a6bd-f47c69edf255"/>
    <xsd:import namespace="fefe5a87-0f61-49d2-ad0e-d99b6b899f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9ee4f-d874-4566-a6bd-f47c69edf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71996052-62f5-4f90-af1f-7dc781ad549c"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e5a87-0f61-49d2-ad0e-d99b6b899f8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927be0a-1e31-4c83-8a07-4163c17f1eac}" ma:internalName="TaxCatchAll" ma:showField="CatchAllData" ma:web="fefe5a87-0f61-49d2-ad0e-d99b6b899f8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79C321-9251-4F0E-9050-E251CBD51FF3}"/>
</file>

<file path=customXml/itemProps2.xml><?xml version="1.0" encoding="utf-8"?>
<ds:datastoreItem xmlns:ds="http://schemas.openxmlformats.org/officeDocument/2006/customXml" ds:itemID="{15A046AE-23D3-4259-8303-E57433C2F432}"/>
</file>

<file path=customXml/itemProps3.xml><?xml version="1.0" encoding="utf-8"?>
<ds:datastoreItem xmlns:ds="http://schemas.openxmlformats.org/officeDocument/2006/customXml" ds:itemID="{98CF765C-58E2-4E11-8938-87DB4F3646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Álvaro González Miranda</dc:creator>
  <cp:keywords/>
  <dc:description/>
  <cp:lastModifiedBy>Vanessa Ivonne Maraboli Boutaud</cp:lastModifiedBy>
  <cp:revision/>
  <dcterms:created xsi:type="dcterms:W3CDTF">2013-06-10T15:33:12Z</dcterms:created>
  <dcterms:modified xsi:type="dcterms:W3CDTF">2026-01-13T20:31:24Z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0x01010023E636E5ADFFDD4593589394D25615CE</vt:lpwstr>
  </property>
  <property fmtid="{D5CDD505-2E9C-101B-9397-08002B2CF9AE}" pid="3" name="MediaServiceImageTags">
    <vt:lpwstr/>
  </property>
</Properties>
</file>