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codeName="ThisWorkbook"/>
  <mc:AlternateContent xmlns:mc="http://schemas.openxmlformats.org/markup-compatibility/2006">
    <mc:Choice Requires="x15">
      <x15ac:absPath xmlns:x15ac="http://schemas.microsoft.com/office/spreadsheetml/2010/11/ac" url="/Users/valeria/Dropbox/FONDEQUIP_2025/CARTAS_FIRMADAS/PRESUPUESTO/"/>
    </mc:Choice>
  </mc:AlternateContent>
  <xr:revisionPtr revIDLastSave="0" documentId="13_ncr:1_{DA0EF510-13C7-6745-A009-2288995B3914}" xr6:coauthVersionLast="47" xr6:coauthVersionMax="47" xr10:uidLastSave="{00000000-0000-0000-0000-000000000000}"/>
  <bookViews>
    <workbookView xWindow="28980" yWindow="500" windowWidth="32220" windowHeight="28300" tabRatio="700" firstSheet="3" activeTab="3" xr2:uid="{00000000-000D-0000-FFFF-FFFF00000000}"/>
  </bookViews>
  <sheets>
    <sheet name="INSTRUCCIONES" sheetId="4" r:id="rId1"/>
    <sheet name="COTIZACIONES" sheetId="5" r:id="rId2"/>
    <sheet name="I.- EQUIPAMIENTO" sheetId="2" r:id="rId3"/>
    <sheet name="II TRASLADOS , INST. OPERACION" sheetId="3" r:id="rId4"/>
    <sheet name="DETALLE APORTES" sheetId="13" r:id="rId5"/>
    <sheet name="III.- PRESUPUESTO FINAL" sheetId="1" r:id="rId6"/>
    <sheet name="DETALLE PRESUPUESTO" sheetId="14" r:id="rId7"/>
    <sheet name="PRESUPUESTO MODIFICADO" sheetId="10" state="hidden" r:id="rId8"/>
    <sheet name="SALDOS " sheetId="9" state="hidden" r:id="rId9"/>
    <sheet name="USO INT. DESGLOSE FACTURAS" sheetId="11" state="hidden" r:id="rId10"/>
  </sheets>
  <definedNames>
    <definedName name="_xlnm.Print_Area" localSheetId="1">COTIZACIONES!$A$1:$M$25</definedName>
    <definedName name="_xlnm.Print_Area" localSheetId="4">'DETALLE APORTES'!$A$1:$P$17</definedName>
    <definedName name="_xlnm.Print_Area" localSheetId="6">'DETALLE PRESUPUESTO'!$A$1:$E$11</definedName>
    <definedName name="_xlnm.Print_Area" localSheetId="2">'I.- EQUIPAMIENTO'!$B$1:$F$27</definedName>
    <definedName name="_xlnm.Print_Area" localSheetId="5">'III.- PRESUPUESTO FINAL'!$B$1:$J$17</definedName>
    <definedName name="_xlnm.Print_Area" localSheetId="7">'PRESUPUESTO MODIFICADO'!$A$2:$P$30</definedName>
    <definedName name="_xlnm.Print_Area" localSheetId="8">'SALDOS '!$A$2:$Q$29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3" l="1"/>
  <c r="E11" i="3"/>
  <c r="E9" i="3" l="1"/>
  <c r="E12" i="3"/>
  <c r="E21" i="2" l="1"/>
  <c r="P7" i="2"/>
  <c r="G15" i="3"/>
  <c r="G14" i="3"/>
  <c r="G11" i="3"/>
  <c r="F16" i="3"/>
  <c r="F15" i="3"/>
  <c r="F10" i="3"/>
  <c r="E8" i="3"/>
  <c r="E7" i="3"/>
  <c r="F11" i="13"/>
  <c r="F10" i="13"/>
  <c r="G10" i="3" s="1"/>
  <c r="F12" i="13"/>
  <c r="G12" i="3" s="1"/>
  <c r="F13" i="13"/>
  <c r="F14" i="13"/>
  <c r="F15" i="13"/>
  <c r="G16" i="3" s="1"/>
  <c r="E10" i="13"/>
  <c r="E14" i="13"/>
  <c r="E15" i="13"/>
  <c r="I26" i="9" l="1"/>
  <c r="G13" i="13"/>
  <c r="E13" i="13" s="1"/>
  <c r="F14" i="3" s="1"/>
  <c r="G12" i="13"/>
  <c r="E12" i="13" s="1"/>
  <c r="F12" i="3" s="1"/>
  <c r="G11" i="13"/>
  <c r="E11" i="13" s="1"/>
  <c r="F11" i="3" s="1"/>
  <c r="G9" i="13"/>
  <c r="E9" i="13" s="1"/>
  <c r="F9" i="3" s="1"/>
  <c r="G8" i="13"/>
  <c r="E8" i="13" s="1"/>
  <c r="F8" i="3" s="1"/>
  <c r="G7" i="13"/>
  <c r="E7" i="13" s="1"/>
  <c r="C10" i="14"/>
  <c r="C9" i="14"/>
  <c r="C8" i="14"/>
  <c r="C6" i="14"/>
  <c r="C5" i="14"/>
  <c r="C4" i="14"/>
  <c r="C3" i="14"/>
  <c r="H23" i="5" l="1"/>
  <c r="H22" i="5"/>
  <c r="H21" i="5"/>
  <c r="H20" i="5"/>
  <c r="H19" i="5"/>
  <c r="H15" i="5"/>
  <c r="H16" i="5"/>
  <c r="H17" i="5"/>
  <c r="H18" i="5"/>
  <c r="L15" i="9" l="1"/>
  <c r="L16" i="9"/>
  <c r="I8" i="9"/>
  <c r="I11" i="9"/>
  <c r="I12" i="9"/>
  <c r="S8" i="11"/>
  <c r="T6" i="11"/>
  <c r="L10" i="9" s="1"/>
  <c r="S5" i="11"/>
  <c r="I9" i="9" s="1"/>
  <c r="T5" i="11"/>
  <c r="L9" i="9" s="1"/>
  <c r="S6" i="11"/>
  <c r="I10" i="9" s="1"/>
  <c r="S7" i="11"/>
  <c r="T7" i="11"/>
  <c r="L11" i="9" s="1"/>
  <c r="T8" i="11"/>
  <c r="L12" i="9" s="1"/>
  <c r="S9" i="11"/>
  <c r="I13" i="9" s="1"/>
  <c r="T9" i="11"/>
  <c r="L13" i="9" s="1"/>
  <c r="S10" i="11"/>
  <c r="T10" i="11"/>
  <c r="L14" i="9" s="1"/>
  <c r="T4" i="11"/>
  <c r="L8" i="9" s="1"/>
  <c r="S4" i="11"/>
  <c r="Q20" i="11"/>
  <c r="P20" i="11"/>
  <c r="Q19" i="11"/>
  <c r="P19" i="11"/>
  <c r="Q18" i="11"/>
  <c r="P18" i="11"/>
  <c r="Q17" i="11"/>
  <c r="P17" i="11"/>
  <c r="Q16" i="11"/>
  <c r="P16" i="11"/>
  <c r="Q15" i="11"/>
  <c r="P15" i="11"/>
  <c r="Q14" i="11"/>
  <c r="P14" i="11"/>
  <c r="Q11" i="11"/>
  <c r="P11" i="11"/>
  <c r="L20" i="11"/>
  <c r="K20" i="11"/>
  <c r="L19" i="11"/>
  <c r="K19" i="11"/>
  <c r="L18" i="11"/>
  <c r="K18" i="11"/>
  <c r="L17" i="11"/>
  <c r="K17" i="11"/>
  <c r="L16" i="11"/>
  <c r="K16" i="11"/>
  <c r="L15" i="11"/>
  <c r="K15" i="11"/>
  <c r="L14" i="11"/>
  <c r="K14" i="11"/>
  <c r="L11" i="11"/>
  <c r="K11" i="11"/>
  <c r="N20" i="11"/>
  <c r="N19" i="11"/>
  <c r="N18" i="11"/>
  <c r="N17" i="11"/>
  <c r="N16" i="11"/>
  <c r="N15" i="11"/>
  <c r="N14" i="11"/>
  <c r="N11" i="11"/>
  <c r="O10" i="11"/>
  <c r="O20" i="11" s="1"/>
  <c r="O9" i="11"/>
  <c r="O19" i="11" s="1"/>
  <c r="O8" i="11"/>
  <c r="O18" i="11" s="1"/>
  <c r="O7" i="11"/>
  <c r="O17" i="11" s="1"/>
  <c r="O6" i="11"/>
  <c r="O16" i="11" s="1"/>
  <c r="O5" i="11"/>
  <c r="O15" i="11" s="1"/>
  <c r="O4" i="11"/>
  <c r="O14" i="11" s="1"/>
  <c r="D5" i="11"/>
  <c r="L21" i="11" l="1"/>
  <c r="N21" i="11"/>
  <c r="P21" i="11"/>
  <c r="O11" i="11"/>
  <c r="Q21" i="11"/>
  <c r="K21" i="11"/>
  <c r="O21" i="11"/>
  <c r="T14" i="11"/>
  <c r="S14" i="11"/>
  <c r="I14" i="11"/>
  <c r="F14" i="11"/>
  <c r="F7" i="3"/>
  <c r="I12" i="3" l="1"/>
  <c r="F15" i="11" l="1"/>
  <c r="I15" i="11"/>
  <c r="S15" i="11"/>
  <c r="T15" i="11"/>
  <c r="F16" i="11"/>
  <c r="F21" i="11" s="1"/>
  <c r="I16" i="11"/>
  <c r="S16" i="11"/>
  <c r="T16" i="11"/>
  <c r="F17" i="11"/>
  <c r="I17" i="11"/>
  <c r="S17" i="11"/>
  <c r="T17" i="11"/>
  <c r="F18" i="11"/>
  <c r="I18" i="11"/>
  <c r="S18" i="11"/>
  <c r="T18" i="11"/>
  <c r="F19" i="11"/>
  <c r="I19" i="11"/>
  <c r="S19" i="11"/>
  <c r="T19" i="11"/>
  <c r="F20" i="11"/>
  <c r="I20" i="11"/>
  <c r="S20" i="11"/>
  <c r="T20" i="11"/>
  <c r="C15" i="11"/>
  <c r="C16" i="11"/>
  <c r="C17" i="11"/>
  <c r="C18" i="11"/>
  <c r="C19" i="11"/>
  <c r="C20" i="11"/>
  <c r="C14" i="11"/>
  <c r="I21" i="11" l="1"/>
  <c r="T21" i="11"/>
  <c r="S21" i="11"/>
  <c r="C21" i="11"/>
  <c r="G16" i="13"/>
  <c r="R16" i="13" l="1"/>
  <c r="Q16" i="13"/>
  <c r="F15" i="9" l="1"/>
  <c r="F15" i="10"/>
  <c r="I14" i="1" l="1"/>
  <c r="N15" i="10" s="1"/>
  <c r="P15" i="10" s="1"/>
  <c r="N15" i="9" s="1"/>
  <c r="I15" i="1"/>
  <c r="H14" i="1"/>
  <c r="K15" i="10" s="1"/>
  <c r="M15" i="10" s="1"/>
  <c r="K15" i="9" s="1"/>
  <c r="M15" i="9" s="1"/>
  <c r="H15" i="1"/>
  <c r="E15" i="9" l="1"/>
  <c r="P15" i="9"/>
  <c r="G15" i="9" s="1"/>
  <c r="E15" i="10"/>
  <c r="G15" i="10" s="1"/>
  <c r="F14" i="1"/>
  <c r="H16" i="13"/>
  <c r="J16" i="13"/>
  <c r="L16" i="13"/>
  <c r="N16" i="13"/>
  <c r="P16" i="13"/>
  <c r="F16" i="13"/>
  <c r="M16" i="13"/>
  <c r="K16" i="13"/>
  <c r="D9" i="14" l="1"/>
  <c r="I16" i="13"/>
  <c r="O16" i="13"/>
  <c r="J5" i="11"/>
  <c r="J15" i="11" s="1"/>
  <c r="J6" i="11"/>
  <c r="J16" i="11" s="1"/>
  <c r="J7" i="11"/>
  <c r="J17" i="11" s="1"/>
  <c r="J8" i="11"/>
  <c r="J18" i="11" s="1"/>
  <c r="J9" i="11"/>
  <c r="J19" i="11" s="1"/>
  <c r="J10" i="11"/>
  <c r="J20" i="11" s="1"/>
  <c r="G5" i="11"/>
  <c r="G15" i="11" s="1"/>
  <c r="G6" i="11"/>
  <c r="G16" i="11" s="1"/>
  <c r="G7" i="11"/>
  <c r="G17" i="11" s="1"/>
  <c r="G8" i="11"/>
  <c r="G18" i="11" s="1"/>
  <c r="G9" i="11"/>
  <c r="G19" i="11" s="1"/>
  <c r="G10" i="11"/>
  <c r="G20" i="11" s="1"/>
  <c r="P8" i="2"/>
  <c r="E23" i="2" s="1"/>
  <c r="M7" i="2"/>
  <c r="U5" i="11" l="1"/>
  <c r="U15" i="11" s="1"/>
  <c r="U6" i="11"/>
  <c r="U16" i="11" s="1"/>
  <c r="U7" i="11"/>
  <c r="U17" i="11" s="1"/>
  <c r="U8" i="11"/>
  <c r="U18" i="11" s="1"/>
  <c r="U9" i="11"/>
  <c r="U19" i="11" s="1"/>
  <c r="U10" i="11"/>
  <c r="U20" i="11" s="1"/>
  <c r="U4" i="11"/>
  <c r="U14" i="11" s="1"/>
  <c r="U21" i="11" l="1"/>
  <c r="J4" i="11"/>
  <c r="J14" i="11" s="1"/>
  <c r="J21" i="11" s="1"/>
  <c r="J11" i="11"/>
  <c r="G4" i="11"/>
  <c r="G14" i="11" s="1"/>
  <c r="G21" i="11" s="1"/>
  <c r="G11" i="11"/>
  <c r="K16" i="10"/>
  <c r="H13" i="1"/>
  <c r="S11" i="11"/>
  <c r="T11" i="11"/>
  <c r="U11" i="11"/>
  <c r="I11" i="11"/>
  <c r="F11" i="11"/>
  <c r="C11" i="11"/>
  <c r="D15" i="11"/>
  <c r="D6" i="11"/>
  <c r="D16" i="11" s="1"/>
  <c r="D7" i="11"/>
  <c r="D17" i="11" s="1"/>
  <c r="D8" i="11"/>
  <c r="D18" i="11" s="1"/>
  <c r="D9" i="11"/>
  <c r="D19" i="11" s="1"/>
  <c r="D10" i="11"/>
  <c r="D20" i="11" s="1"/>
  <c r="D4" i="11"/>
  <c r="D14" i="11" s="1"/>
  <c r="N6" i="2"/>
  <c r="E22" i="2" s="1"/>
  <c r="M6" i="2"/>
  <c r="O6" i="2" s="1"/>
  <c r="H24" i="5"/>
  <c r="I24" i="5" s="1"/>
  <c r="H9" i="5"/>
  <c r="I9" i="5" s="1"/>
  <c r="H14" i="5"/>
  <c r="I14" i="5" s="1"/>
  <c r="I15" i="5" s="1"/>
  <c r="I16" i="5" s="1"/>
  <c r="I17" i="5" s="1"/>
  <c r="I18" i="5" s="1"/>
  <c r="I19" i="5" s="1"/>
  <c r="I20" i="5" s="1"/>
  <c r="I21" i="5" s="1"/>
  <c r="I22" i="5" s="1"/>
  <c r="I23" i="5" s="1"/>
  <c r="O7" i="10"/>
  <c r="L7" i="10"/>
  <c r="I7" i="10"/>
  <c r="I21" i="9"/>
  <c r="I20" i="9"/>
  <c r="I22" i="9" s="1"/>
  <c r="F13" i="9"/>
  <c r="F8" i="10"/>
  <c r="F17" i="10" s="1"/>
  <c r="F9" i="10"/>
  <c r="F10" i="10"/>
  <c r="F11" i="10"/>
  <c r="F12" i="10"/>
  <c r="F13" i="10"/>
  <c r="F14" i="10"/>
  <c r="F16" i="10"/>
  <c r="H9" i="1"/>
  <c r="K10" i="10" s="1"/>
  <c r="M10" i="10" s="1"/>
  <c r="K10" i="9" s="1"/>
  <c r="M10" i="9" s="1"/>
  <c r="H10" i="1"/>
  <c r="K11" i="10" s="1"/>
  <c r="M11" i="10" s="1"/>
  <c r="K11" i="9" s="1"/>
  <c r="M11" i="9" s="1"/>
  <c r="H11" i="1"/>
  <c r="K12" i="10" s="1"/>
  <c r="M12" i="10" s="1"/>
  <c r="K12" i="9" s="1"/>
  <c r="M12" i="9" s="1"/>
  <c r="H12" i="1"/>
  <c r="K13" i="10" s="1"/>
  <c r="M13" i="10" s="1"/>
  <c r="K13" i="9" s="1"/>
  <c r="M13" i="9" s="1"/>
  <c r="J20" i="10"/>
  <c r="O17" i="10"/>
  <c r="L17" i="10"/>
  <c r="I17" i="10"/>
  <c r="I17" i="9"/>
  <c r="L17" i="9"/>
  <c r="I27" i="9" s="1"/>
  <c r="O17" i="9"/>
  <c r="I28" i="9"/>
  <c r="F16" i="9"/>
  <c r="F14" i="9"/>
  <c r="F12" i="9"/>
  <c r="F11" i="9"/>
  <c r="F10" i="9"/>
  <c r="F9" i="9"/>
  <c r="F8" i="9"/>
  <c r="I13" i="1"/>
  <c r="N14" i="10" s="1"/>
  <c r="P14" i="10" s="1"/>
  <c r="N14" i="9" s="1"/>
  <c r="P14" i="9" s="1"/>
  <c r="H10" i="5"/>
  <c r="I10" i="5" s="1"/>
  <c r="G23" i="3"/>
  <c r="P18" i="3"/>
  <c r="I12" i="1"/>
  <c r="N13" i="10" s="1"/>
  <c r="P13" i="10" s="1"/>
  <c r="N13" i="9" s="1"/>
  <c r="P13" i="9" s="1"/>
  <c r="G11" i="1"/>
  <c r="H12" i="10" s="1"/>
  <c r="G10" i="1"/>
  <c r="E25" i="3"/>
  <c r="F25" i="3" s="1"/>
  <c r="N16" i="10"/>
  <c r="P16" i="10" s="1"/>
  <c r="N16" i="9" s="1"/>
  <c r="P16" i="9" s="1"/>
  <c r="I11" i="1"/>
  <c r="I10" i="1"/>
  <c r="G12" i="1"/>
  <c r="H13" i="10" s="1"/>
  <c r="J13" i="10" s="1"/>
  <c r="H13" i="9" s="1"/>
  <c r="P6" i="2" l="1"/>
  <c r="I29" i="9"/>
  <c r="F17" i="9"/>
  <c r="I25" i="9"/>
  <c r="J26" i="9" s="1"/>
  <c r="K26" i="9" s="1"/>
  <c r="D22" i="2"/>
  <c r="D21" i="11"/>
  <c r="D11" i="11"/>
  <c r="H16" i="2"/>
  <c r="E25" i="2" s="1"/>
  <c r="H9" i="2"/>
  <c r="N11" i="10"/>
  <c r="P11" i="10" s="1"/>
  <c r="H7" i="1"/>
  <c r="K8" i="10" s="1"/>
  <c r="M8" i="10" s="1"/>
  <c r="H8" i="1"/>
  <c r="K9" i="10" s="1"/>
  <c r="M9" i="10" s="1"/>
  <c r="K9" i="9" s="1"/>
  <c r="M9" i="9" s="1"/>
  <c r="G8" i="1"/>
  <c r="E26" i="3"/>
  <c r="E23" i="3"/>
  <c r="E18" i="3" s="1"/>
  <c r="N12" i="10"/>
  <c r="P12" i="10" s="1"/>
  <c r="N12" i="9" s="1"/>
  <c r="P12" i="9" s="1"/>
  <c r="G7" i="1"/>
  <c r="J12" i="10"/>
  <c r="H12" i="9" s="1"/>
  <c r="F11" i="1"/>
  <c r="K11" i="1"/>
  <c r="F12" i="1"/>
  <c r="E13" i="10"/>
  <c r="G13" i="10" s="1"/>
  <c r="J13" i="9"/>
  <c r="G13" i="9" s="1"/>
  <c r="E13" i="9"/>
  <c r="F10" i="1"/>
  <c r="H11" i="10"/>
  <c r="J11" i="10" s="1"/>
  <c r="H11" i="9" s="1"/>
  <c r="J11" i="9" s="1"/>
  <c r="F23" i="3"/>
  <c r="E27" i="3" s="1"/>
  <c r="K14" i="10"/>
  <c r="R14" i="10" s="1"/>
  <c r="F13" i="1"/>
  <c r="E16" i="10"/>
  <c r="G16" i="10" s="1"/>
  <c r="M16" i="10"/>
  <c r="K16" i="9" s="1"/>
  <c r="F15" i="1"/>
  <c r="K13" i="1"/>
  <c r="D8" i="14" l="1"/>
  <c r="D10" i="14"/>
  <c r="D6" i="14"/>
  <c r="D4" i="14"/>
  <c r="D5" i="14"/>
  <c r="J28" i="9"/>
  <c r="J27" i="9"/>
  <c r="J29" i="9"/>
  <c r="K29" i="9" s="1"/>
  <c r="F8" i="1"/>
  <c r="E16" i="13"/>
  <c r="H9" i="10"/>
  <c r="E9" i="10" s="1"/>
  <c r="G9" i="10" s="1"/>
  <c r="Q18" i="3"/>
  <c r="N17" i="10"/>
  <c r="F27" i="3"/>
  <c r="E31" i="3"/>
  <c r="G9" i="1"/>
  <c r="G16" i="1" s="1"/>
  <c r="E12" i="10"/>
  <c r="G12" i="10" s="1"/>
  <c r="E14" i="10"/>
  <c r="G14" i="10" s="1"/>
  <c r="M14" i="10"/>
  <c r="M17" i="10" s="1"/>
  <c r="J28" i="10" s="1"/>
  <c r="K17" i="10"/>
  <c r="K8" i="9"/>
  <c r="M8" i="9" s="1"/>
  <c r="H8" i="10"/>
  <c r="E8" i="10" s="1"/>
  <c r="G8" i="10" s="1"/>
  <c r="F7" i="1"/>
  <c r="E11" i="10"/>
  <c r="G11" i="10" s="1"/>
  <c r="E12" i="9"/>
  <c r="J12" i="9"/>
  <c r="G12" i="9" s="1"/>
  <c r="P17" i="10"/>
  <c r="J29" i="10" s="1"/>
  <c r="R12" i="10"/>
  <c r="N11" i="9"/>
  <c r="D18" i="3"/>
  <c r="E16" i="9"/>
  <c r="M16" i="9"/>
  <c r="G16" i="9" s="1"/>
  <c r="J27" i="10" l="1"/>
  <c r="H25" i="2"/>
  <c r="C25" i="2"/>
  <c r="J26" i="10"/>
  <c r="D23" i="2"/>
  <c r="I16" i="1"/>
  <c r="J9" i="10"/>
  <c r="H9" i="9" s="1"/>
  <c r="E9" i="9" s="1"/>
  <c r="K14" i="9"/>
  <c r="M14" i="9" s="1"/>
  <c r="F9" i="1"/>
  <c r="D3" i="14" s="1"/>
  <c r="H10" i="10"/>
  <c r="H17" i="10" s="1"/>
  <c r="J8" i="10"/>
  <c r="J30" i="10"/>
  <c r="N17" i="9"/>
  <c r="P11" i="9"/>
  <c r="E11" i="9"/>
  <c r="F16" i="1" l="1"/>
  <c r="K30" i="2"/>
  <c r="R14" i="9"/>
  <c r="J9" i="9"/>
  <c r="G9" i="9" s="1"/>
  <c r="K29" i="10"/>
  <c r="E14" i="9"/>
  <c r="K17" i="9"/>
  <c r="E10" i="10"/>
  <c r="J10" i="10"/>
  <c r="J17" i="10" s="1"/>
  <c r="H8" i="9"/>
  <c r="J8" i="9" s="1"/>
  <c r="G8" i="9" s="1"/>
  <c r="J21" i="10"/>
  <c r="P17" i="9"/>
  <c r="R12" i="9"/>
  <c r="G11" i="9"/>
  <c r="G14" i="9"/>
  <c r="M17" i="9"/>
  <c r="K27" i="10" l="1"/>
  <c r="L27" i="10" s="1"/>
  <c r="K28" i="10"/>
  <c r="K30" i="10"/>
  <c r="L30" i="10" s="1"/>
  <c r="H10" i="9"/>
  <c r="H17" i="9" s="1"/>
  <c r="J22" i="10"/>
  <c r="J23" i="10" s="1"/>
  <c r="G10" i="10"/>
  <c r="G17" i="10" s="1"/>
  <c r="E17" i="10"/>
  <c r="E8" i="9"/>
  <c r="J10" i="9" l="1"/>
  <c r="E10" i="9"/>
  <c r="E17" i="9" s="1"/>
  <c r="G10" i="9" l="1"/>
  <c r="G17" i="9" s="1"/>
  <c r="J17" i="9"/>
  <c r="E29" i="3"/>
  <c r="F18" i="3" l="1"/>
  <c r="R18" i="3" s="1"/>
  <c r="G18" i="3"/>
  <c r="S18" i="3" s="1"/>
  <c r="H16" i="1"/>
  <c r="F30" i="3"/>
  <c r="E32" i="3"/>
  <c r="F29" i="3"/>
  <c r="D25" i="2"/>
  <c r="E30" i="3" l="1"/>
  <c r="F31" i="3" s="1"/>
  <c r="T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Roxany Barahona Ligueno</author>
  </authors>
  <commentList>
    <comment ref="J4" authorId="0" shapeId="0" xr:uid="{00000000-0006-0000-0100-000001000000}">
      <text>
        <r>
          <rPr>
            <b/>
            <sz val="9"/>
            <color indexed="81"/>
            <rFont val="Tahoma"/>
            <family val="2"/>
          </rPr>
          <t>Especificar Otra Moneda utilizada en la cotización.-</t>
        </r>
      </text>
    </comment>
    <comment ref="J5" authorId="0" shapeId="0" xr:uid="{00000000-0006-0000-0100-000002000000}">
      <text>
        <r>
          <rPr>
            <b/>
            <sz val="9"/>
            <color indexed="81"/>
            <rFont val="Tahoma"/>
            <family val="2"/>
          </rPr>
          <t>Indicar Tipo de Cambio utilizado con Otra Moneda.-</t>
        </r>
      </text>
    </comment>
    <comment ref="G8" authorId="0" shapeId="0" xr:uid="{00000000-0006-0000-0100-000003000000}">
      <text>
        <r>
          <rPr>
            <b/>
            <sz val="9"/>
            <color rgb="FF000000"/>
            <rFont val="Tahoma"/>
            <family val="2"/>
          </rPr>
          <t xml:space="preserve">
</t>
        </r>
        <r>
          <rPr>
            <b/>
            <sz val="9"/>
            <color rgb="FF000000"/>
            <rFont val="Tahoma"/>
            <family val="2"/>
          </rPr>
          <t>Seleccionar la Moneda utilizada en la Cotización.-</t>
        </r>
      </text>
    </comment>
    <comment ref="G13" authorId="0" shapeId="0" xr:uid="{00000000-0006-0000-0100-000004000000}">
      <text>
        <r>
          <rPr>
            <b/>
            <sz val="9"/>
            <color indexed="81"/>
            <rFont val="Tahoma"/>
            <family val="2"/>
          </rPr>
          <t xml:space="preserve">
Seleccionar la Moneda utilizada en la Cotización.-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tc={FFB68F36-F801-4D62-A82B-9C0B1F300FD0}</author>
    <author>tc={CFDC694D-FA57-41CD-AA91-C158D61D1085}</author>
    <author>tc={DA2FA778-9F02-478B-9398-9F5AF62309E9}</author>
    <author>tc={9F9A4B31-DF57-43F2-9A9F-55A776BFBC64}</author>
    <author>tc={7A06E5D3-48F6-446D-A1B4-7DE04DC08036}</author>
    <author>tc={9483710B-9EE6-41CE-9717-E36BA4C884F8}</author>
    <author>tc={1E335CB1-C5DF-404D-8E85-A58A1F765AB5}</author>
    <author>tc={AD5171CA-A9F3-421A-AF7D-7E3829B178DB}</author>
    <author>tc={4BC0FAC7-1A11-47F4-86E4-C85204E60A11}</author>
    <author>tc={96ECC16E-219F-49E8-9894-BEBA0192A11B}</author>
    <author>tc={4A8BB480-A2EE-4798-8664-5FE64E4CDEA7}</author>
    <author>tc={C0951B4A-D909-443B-8AE2-D6C3E9AB7233}</author>
    <author>tc={DBBCB07C-8BDA-467D-8523-CC3F49F04FAA}</author>
    <author>tc={AB265B10-A067-4AA5-94D6-599E2CB554DC}</author>
    <author>tc={0A8C0AC1-0DD2-4B6E-9C5C-42CB64BD6667}</author>
  </authors>
  <commentList>
    <comment ref="F7" authorId="0" shapeId="0" xr:uid="{FFB68F36-F801-4D62-A82B-9C0B1F300FD0}">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8" authorId="1" shapeId="0" xr:uid="{CFDC694D-FA57-41CD-AA91-C158D61D1085}">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9" authorId="2" shapeId="0" xr:uid="{DA2FA778-9F02-478B-9398-9F5AF62309E9}">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0" authorId="3" shapeId="0" xr:uid="{9F9A4B31-DF57-43F2-9A9F-55A776BFBC64}">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0" authorId="4" shapeId="0" xr:uid="{7A06E5D3-48F6-446D-A1B4-7DE04DC08036}">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1" authorId="5" shapeId="0" xr:uid="{9483710B-9EE6-41CE-9717-E36BA4C884F8}">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1" authorId="6" shapeId="0" xr:uid="{1E335CB1-C5DF-404D-8E85-A58A1F765AB5}">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2" authorId="7" shapeId="0" xr:uid="{AD5171CA-A9F3-421A-AF7D-7E3829B178DB}">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2" authorId="8" shapeId="0" xr:uid="{4BC0FAC7-1A11-47F4-86E4-C85204E60A11}">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4" authorId="9" shapeId="0" xr:uid="{96ECC16E-219F-49E8-9894-BEBA0192A11B}">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4" authorId="10" shapeId="0" xr:uid="{4A8BB480-A2EE-4798-8664-5FE64E4CDEA7}">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5" authorId="11" shapeId="0" xr:uid="{C0951B4A-D909-443B-8AE2-D6C3E9AB7233}">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5" authorId="12" shapeId="0" xr:uid="{DBBCB07C-8BDA-467D-8523-CC3F49F04FAA}">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F16" authorId="13" shapeId="0" xr:uid="{AB265B10-A067-4AA5-94D6-599E2CB554DC}">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 ref="G16" authorId="14" shapeId="0" xr:uid="{0A8C0AC1-0DD2-4B6E-9C5C-42CB64BD6667}">
      <text>
        <t>[Threaded comment]
Your version of Excel allows you to read this threaded comment; however, any edits to it will get removed if the file is opened in a newer version of Excel. Learn more: https://go.microsoft.com/fwlink/?linkid=870924
Comment:
    Monto ingresado en Hoja DETALLE APORTES.-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Roxany Barahona Ligueno</author>
    <author>tc={7EDE5B45-7AC8-47F5-8264-9120E8EC5946}</author>
    <author>tc={89C33586-7617-41A9-9927-C3EEF1703468}</author>
    <author>tc={75B59B58-F912-4988-80D5-555831CC8556}</author>
    <author>tc={F6ED456A-0283-4CCC-9F94-F10A9C4FB954}</author>
    <author>tc={BF38B127-74C0-45FF-8532-13088784B80B}</author>
    <author>tc={8FFC5D1E-1884-40B0-B0C2-9C506B913365}</author>
  </authors>
  <commentList>
    <comment ref="I5" authorId="0" shapeId="0" xr:uid="{00000000-0006-0000-0400-000001000000}">
      <text>
        <r>
          <rPr>
            <sz val="9"/>
            <color indexed="81"/>
            <rFont val="Tahoma"/>
            <family val="2"/>
          </rPr>
          <t xml:space="preserve">Nombre de la Institución Asociada.-
</t>
        </r>
      </text>
    </comment>
    <comment ref="K5" authorId="0" shapeId="0" xr:uid="{00000000-0006-0000-0400-000002000000}">
      <text>
        <r>
          <rPr>
            <sz val="9"/>
            <color indexed="81"/>
            <rFont val="Tahoma"/>
            <family val="2"/>
          </rPr>
          <t xml:space="preserve">Nombre de la Institución Asociada.-
</t>
        </r>
      </text>
    </comment>
    <comment ref="M5" authorId="0" shapeId="0" xr:uid="{00000000-0006-0000-0400-000003000000}">
      <text>
        <r>
          <rPr>
            <sz val="9"/>
            <color indexed="81"/>
            <rFont val="Tahoma"/>
            <family val="2"/>
          </rPr>
          <t xml:space="preserve">Nombre de la Institución Asociada.-
</t>
        </r>
      </text>
    </comment>
    <comment ref="O5" authorId="0" shapeId="0" xr:uid="{00000000-0006-0000-0400-000004000000}">
      <text>
        <r>
          <rPr>
            <sz val="9"/>
            <color indexed="81"/>
            <rFont val="Tahoma"/>
            <family val="2"/>
          </rPr>
          <t xml:space="preserve">Nombre de la Institución Asociada.-
</t>
        </r>
      </text>
    </comment>
    <comment ref="Q5" authorId="0" shapeId="0" xr:uid="{00000000-0006-0000-0400-000005000000}">
      <text>
        <r>
          <rPr>
            <sz val="9"/>
            <color indexed="81"/>
            <rFont val="Tahoma"/>
            <family val="2"/>
          </rPr>
          <t xml:space="preserve">Nombre de la Institución Asociada.-
</t>
        </r>
      </text>
    </comment>
    <comment ref="G7" authorId="1" shapeId="0" xr:uid="{7EDE5B45-7AC8-47F5-8264-9120E8EC5946}">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 ref="G8" authorId="2" shapeId="0" xr:uid="{89C33586-7617-41A9-9927-C3EEF1703468}">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 ref="G9" authorId="3" shapeId="0" xr:uid="{75B59B58-F912-4988-80D5-555831CC8556}">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 ref="G11" authorId="4" shapeId="0" xr:uid="{F6ED456A-0283-4CCC-9F94-F10A9C4FB954}">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 ref="G12" authorId="5" shapeId="0" xr:uid="{BF38B127-74C0-45FF-8532-13088784B80B}">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 ref="G13" authorId="6" shapeId="0" xr:uid="{8FFC5D1E-1884-40B0-B0C2-9C506B913365}">
      <text>
        <t>[Threaded comment]
Your version of Excel allows you to read this threaded comment; however, any edits to it will get removed if the file is opened in a newer version of Excel. Learn more: https://go.microsoft.com/fwlink/?linkid=870924
Comment:
    Puede modificar el monto en caso de que este aporte esté distribuido en distintas instituciones.-</t>
      </text>
    </comment>
  </commentList>
</comments>
</file>

<file path=xl/sharedStrings.xml><?xml version="1.0" encoding="utf-8"?>
<sst xmlns="http://schemas.openxmlformats.org/spreadsheetml/2006/main" count="328" uniqueCount="168">
  <si>
    <t>INSTRUCCIONES</t>
  </si>
  <si>
    <r>
      <rPr>
        <b/>
        <u/>
        <sz val="11"/>
        <color theme="0"/>
        <rFont val="Calibri"/>
        <family val="2"/>
        <scheme val="minor"/>
      </rPr>
      <t>IMPORTANTE</t>
    </r>
    <r>
      <rPr>
        <b/>
        <sz val="11"/>
        <color theme="0"/>
        <rFont val="Calibri"/>
        <family val="2"/>
        <scheme val="minor"/>
      </rPr>
      <t>: 
Recuerde que el(la) postulante es el(la) responsable del correcto ingreso de los montos en las celdas correspondientes y de la completitud del Formulario, las celdas de verificación y/o validación son solo de ayuda. No debe alterar el formato ni las fórmulas (desbloquear, mover celdas, insertar filas, eliminar columnas, etc.).</t>
    </r>
  </si>
  <si>
    <t>COTIZACIONES</t>
  </si>
  <si>
    <r>
      <t>1.- Se debe completar la Hoja COTIZACIONES con los</t>
    </r>
    <r>
      <rPr>
        <b/>
        <sz val="11"/>
        <rFont val="Calibri"/>
        <family val="2"/>
        <scheme val="minor"/>
      </rPr>
      <t xml:space="preserve"> valores</t>
    </r>
    <r>
      <rPr>
        <sz val="11"/>
        <rFont val="Calibri"/>
        <family val="2"/>
        <scheme val="minor"/>
      </rPr>
      <t xml:space="preserve"> del </t>
    </r>
    <r>
      <rPr>
        <b/>
        <sz val="11"/>
        <rFont val="Calibri"/>
        <family val="2"/>
        <scheme val="minor"/>
      </rPr>
      <t>Equipo, Plataforma y/o Accesorios</t>
    </r>
    <r>
      <rPr>
        <sz val="11"/>
        <rFont val="Calibri"/>
        <family val="2"/>
        <scheme val="minor"/>
      </rPr>
      <t xml:space="preserve">, con o sin IVA, de acuerdo a la(s) cotización(es) presentada(s) en la postulación, siguiendo las instrucciones indicadas.-
2.- Se puede usar la sección COTIZACIÓN PRESENTADA PARA EQUIPO PRINCIPAL o COTIZACIÓN PRESENTADA PARA PLATAFORMA DE EQUIPOS, dependiendo de la configuración postulada.-
3.- En el caso de Equipos que presenten más de una cotización por cada uno, se deben sumar los valores individuales en la celda correspondiente.-
4.- En el caso de </t>
    </r>
    <r>
      <rPr>
        <b/>
        <sz val="11"/>
        <rFont val="Calibri"/>
        <family val="2"/>
        <scheme val="minor"/>
      </rPr>
      <t>Plataformas</t>
    </r>
    <r>
      <rPr>
        <sz val="11"/>
        <rFont val="Calibri"/>
        <family val="2"/>
        <scheme val="minor"/>
      </rPr>
      <t xml:space="preserve">, se debe ingresar cada valor en una celda distinta, los cuales se suman para el valor final de ésta.-
5.- Las Cotizaciones deben corresponder a la </t>
    </r>
    <r>
      <rPr>
        <b/>
        <sz val="11"/>
        <rFont val="Calibri"/>
        <family val="2"/>
        <scheme val="minor"/>
      </rPr>
      <t>misma configuración del equipamiento postulado</t>
    </r>
    <r>
      <rPr>
        <sz val="11"/>
        <rFont val="Calibri"/>
        <family val="2"/>
        <scheme val="minor"/>
      </rPr>
      <t>.-
6.-</t>
    </r>
    <r>
      <rPr>
        <b/>
        <sz val="11"/>
        <rFont val="Calibri"/>
        <family val="2"/>
        <scheme val="minor"/>
      </rPr>
      <t xml:space="preserve"> </t>
    </r>
    <r>
      <rPr>
        <sz val="11"/>
        <rFont val="Calibri"/>
        <family val="2"/>
        <scheme val="minor"/>
      </rPr>
      <t xml:space="preserve">Usar los </t>
    </r>
    <r>
      <rPr>
        <b/>
        <sz val="11"/>
        <rFont val="Calibri"/>
        <family val="2"/>
        <scheme val="minor"/>
      </rPr>
      <t>valores establecidos como tipo de cambio</t>
    </r>
    <r>
      <rPr>
        <sz val="11"/>
        <rFont val="Calibri"/>
        <family val="2"/>
        <scheme val="minor"/>
      </rPr>
      <t>.-</t>
    </r>
  </si>
  <si>
    <t>PRESUPUESTO</t>
  </si>
  <si>
    <r>
      <rPr>
        <b/>
        <sz val="11"/>
        <rFont val="Calibri"/>
        <family val="2"/>
        <scheme val="minor"/>
      </rPr>
      <t>1.-</t>
    </r>
    <r>
      <rPr>
        <sz val="11"/>
        <rFont val="Calibri"/>
        <family val="2"/>
        <scheme val="minor"/>
      </rPr>
      <t xml:space="preserve"> Solo ingresar valores en las celdas correspondientes a los montos de cada Sub-ítem.                        Todos los montos deben ser ingresados completos y en Pesos Chilenos (por ejemplo: $1.000.000 en lugar de M$1.000).-</t>
    </r>
  </si>
  <si>
    <r>
      <rPr>
        <b/>
        <sz val="11"/>
        <color indexed="8"/>
        <rFont val="Calibri"/>
        <family val="2"/>
        <scheme val="minor"/>
      </rPr>
      <t>2.-</t>
    </r>
    <r>
      <rPr>
        <sz val="11"/>
        <color indexed="8"/>
        <rFont val="Calibri"/>
        <family val="2"/>
        <scheme val="minor"/>
      </rPr>
      <t xml:space="preserve"> Se debe ingresar, en primer lugar, en la Hoja </t>
    </r>
    <r>
      <rPr>
        <b/>
        <sz val="11"/>
        <color indexed="8"/>
        <rFont val="Calibri"/>
        <family val="2"/>
        <scheme val="minor"/>
      </rPr>
      <t>I.- EQUIPAMIENTO</t>
    </r>
    <r>
      <rPr>
        <sz val="11"/>
        <color indexed="8"/>
        <rFont val="Calibri"/>
        <family val="2"/>
        <scheme val="minor"/>
      </rPr>
      <t xml:space="preserve"> el monto de </t>
    </r>
    <r>
      <rPr>
        <b/>
        <sz val="11"/>
        <color indexed="8"/>
        <rFont val="Calibri"/>
        <family val="2"/>
        <scheme val="minor"/>
      </rPr>
      <t xml:space="preserve">A.1 Equipo Principal o Plataforma </t>
    </r>
    <r>
      <rPr>
        <sz val="11"/>
        <color indexed="8"/>
        <rFont val="Calibri"/>
        <family val="2"/>
        <scheme val="minor"/>
      </rPr>
      <t>y/o</t>
    </r>
    <r>
      <rPr>
        <b/>
        <sz val="11"/>
        <color indexed="8"/>
        <rFont val="Calibri"/>
        <family val="2"/>
        <scheme val="minor"/>
      </rPr>
      <t xml:space="preserve"> A.2 Accesorio(s)</t>
    </r>
    <r>
      <rPr>
        <sz val="11"/>
        <color indexed="8"/>
        <rFont val="Calibri"/>
        <family val="2"/>
        <scheme val="minor"/>
      </rPr>
      <t xml:space="preserve">, si corresponde. La suma de estos montos no puede ser menor a </t>
    </r>
    <r>
      <rPr>
        <b/>
        <sz val="11"/>
        <color indexed="8"/>
        <rFont val="Calibri"/>
        <family val="2"/>
        <scheme val="minor"/>
      </rPr>
      <t>$50.000.000 (cincuenta millones de pesos)</t>
    </r>
    <r>
      <rPr>
        <sz val="11"/>
        <color indexed="8"/>
        <rFont val="Calibri"/>
        <family val="2"/>
        <scheme val="minor"/>
      </rPr>
      <t>.-</t>
    </r>
  </si>
  <si>
    <r>
      <rPr>
        <b/>
        <sz val="11"/>
        <color indexed="8"/>
        <rFont val="Calibri"/>
        <family val="2"/>
        <scheme val="minor"/>
      </rPr>
      <t xml:space="preserve">3.- </t>
    </r>
    <r>
      <rPr>
        <sz val="11"/>
        <color indexed="8"/>
        <rFont val="Calibri"/>
        <family val="2"/>
        <scheme val="minor"/>
      </rPr>
      <t xml:space="preserve">Ingresar el </t>
    </r>
    <r>
      <rPr>
        <b/>
        <sz val="11"/>
        <color indexed="8"/>
        <rFont val="Calibri"/>
        <family val="2"/>
        <scheme val="minor"/>
      </rPr>
      <t>Aporte Pecuniario total de la(s) Institución(es)</t>
    </r>
    <r>
      <rPr>
        <sz val="11"/>
        <color indexed="8"/>
        <rFont val="Calibri"/>
        <family val="2"/>
        <scheme val="minor"/>
      </rPr>
      <t xml:space="preserve"> que conforma(n) la propuesta (Beneficiara y Asociada(s), si corresponde). Éste debe ser equivalente, al menos, al 10% del monto de </t>
    </r>
    <r>
      <rPr>
        <b/>
        <sz val="11"/>
        <color indexed="8"/>
        <rFont val="Calibri"/>
        <family val="2"/>
        <scheme val="minor"/>
      </rPr>
      <t xml:space="preserve">A. Equipamiento </t>
    </r>
    <r>
      <rPr>
        <sz val="11"/>
        <color rgb="FF000000"/>
        <rFont val="Calibri"/>
        <family val="2"/>
        <scheme val="minor"/>
      </rPr>
      <t xml:space="preserve">y puede ser </t>
    </r>
    <r>
      <rPr>
        <b/>
        <sz val="11"/>
        <color indexed="8"/>
        <rFont val="Calibri"/>
        <family val="2"/>
        <scheme val="minor"/>
      </rPr>
      <t xml:space="preserve">comprometido </t>
    </r>
    <r>
      <rPr>
        <sz val="11"/>
        <color rgb="FF000000"/>
        <rFont val="Calibri"/>
        <family val="2"/>
        <scheme val="minor"/>
      </rPr>
      <t>en los sub-ítems</t>
    </r>
    <r>
      <rPr>
        <b/>
        <sz val="11"/>
        <color indexed="8"/>
        <rFont val="Calibri"/>
        <family val="2"/>
        <scheme val="minor"/>
      </rPr>
      <t xml:space="preserve">: </t>
    </r>
    <r>
      <rPr>
        <b/>
        <sz val="11"/>
        <color rgb="FF000000"/>
        <rFont val="Calibri"/>
        <family val="2"/>
        <scheme val="minor"/>
      </rPr>
      <t>A.1.</t>
    </r>
    <r>
      <rPr>
        <sz val="11"/>
        <color rgb="FF000000"/>
        <rFont val="Calibri"/>
        <family val="2"/>
        <scheme val="minor"/>
      </rPr>
      <t xml:space="preserve"> Equipo Principal o Plataforma y/o A.2 Accesorio(s) y/o </t>
    </r>
    <r>
      <rPr>
        <b/>
        <sz val="11"/>
        <color rgb="FF000000"/>
        <rFont val="Calibri"/>
        <family val="2"/>
        <scheme val="minor"/>
      </rPr>
      <t>B.1</t>
    </r>
    <r>
      <rPr>
        <sz val="11"/>
        <color rgb="FF000000"/>
        <rFont val="Calibri"/>
        <family val="2"/>
        <scheme val="minor"/>
      </rPr>
      <t xml:space="preserve">. Traslados, Seguros de Traslado, Desaduanaje e IVA de Equipo y/o </t>
    </r>
    <r>
      <rPr>
        <b/>
        <sz val="11"/>
        <color rgb="FF000000"/>
        <rFont val="Calibri"/>
        <family val="2"/>
        <scheme val="minor"/>
      </rPr>
      <t>B.3</t>
    </r>
    <r>
      <rPr>
        <sz val="11"/>
        <color rgb="FF000000"/>
        <rFont val="Calibri"/>
        <family val="2"/>
        <scheme val="minor"/>
      </rPr>
      <t xml:space="preserve">. Instalación y Puesta en Marcha de Equipo y/o </t>
    </r>
    <r>
      <rPr>
        <b/>
        <sz val="11"/>
        <color rgb="FF000000"/>
        <rFont val="Calibri"/>
        <family val="2"/>
        <scheme val="minor"/>
      </rPr>
      <t>B.4</t>
    </r>
    <r>
      <rPr>
        <sz val="11"/>
        <color rgb="FF000000"/>
        <rFont val="Calibri"/>
        <family val="2"/>
        <scheme val="minor"/>
      </rPr>
      <t xml:space="preserve">. Mantención, Garantías y Seguros de Equipo y/o </t>
    </r>
    <r>
      <rPr>
        <b/>
        <sz val="11"/>
        <color rgb="FF000000"/>
        <rFont val="Calibri"/>
        <family val="2"/>
        <scheme val="minor"/>
      </rPr>
      <t>C.1</t>
    </r>
    <r>
      <rPr>
        <sz val="11"/>
        <color rgb="FF000000"/>
        <rFont val="Calibri"/>
        <family val="2"/>
        <scheme val="minor"/>
      </rPr>
      <t>. Capacitaciones.-</t>
    </r>
  </si>
  <si>
    <r>
      <rPr>
        <b/>
        <sz val="11"/>
        <color indexed="8"/>
        <rFont val="Calibri"/>
        <family val="2"/>
        <scheme val="minor"/>
      </rPr>
      <t>4.-</t>
    </r>
    <r>
      <rPr>
        <sz val="11"/>
        <color indexed="8"/>
        <rFont val="Calibri"/>
        <family val="2"/>
        <scheme val="minor"/>
      </rPr>
      <t xml:space="preserve"> El </t>
    </r>
    <r>
      <rPr>
        <b/>
        <sz val="11"/>
        <color indexed="8"/>
        <rFont val="Calibri"/>
        <family val="2"/>
        <scheme val="minor"/>
      </rPr>
      <t>Aporte No Pecuniario total</t>
    </r>
    <r>
      <rPr>
        <sz val="11"/>
        <color indexed="8"/>
        <rFont val="Calibri"/>
        <family val="2"/>
        <scheme val="minor"/>
      </rPr>
      <t xml:space="preserve"> </t>
    </r>
    <r>
      <rPr>
        <b/>
        <sz val="11"/>
        <color indexed="8"/>
        <rFont val="Calibri"/>
        <family val="2"/>
        <scheme val="minor"/>
      </rPr>
      <t>de la(s) Institución(es)</t>
    </r>
    <r>
      <rPr>
        <sz val="11"/>
        <color indexed="8"/>
        <rFont val="Calibri"/>
        <family val="2"/>
        <scheme val="minor"/>
      </rPr>
      <t xml:space="preserve"> que conforma(n) la propuesta debe ser, al menos, el equivalente al porcentaje no financiado por aportes pecuniarios necesarios para lograr, al menos, el 50% de cofinanciamiento del monto de </t>
    </r>
    <r>
      <rPr>
        <b/>
        <sz val="11"/>
        <color indexed="8"/>
        <rFont val="Calibri"/>
        <family val="2"/>
        <scheme val="minor"/>
      </rPr>
      <t>A. Equipamiento</t>
    </r>
    <r>
      <rPr>
        <sz val="11"/>
        <color indexed="8"/>
        <rFont val="Calibri"/>
        <family val="2"/>
        <scheme val="minor"/>
      </rPr>
      <t xml:space="preserve"> y se debe considerar en </t>
    </r>
    <r>
      <rPr>
        <b/>
        <sz val="11"/>
        <color indexed="8"/>
        <rFont val="Calibri"/>
        <family val="2"/>
        <scheme val="minor"/>
      </rPr>
      <t>B.- Traslados e Instalación y/o en C.- Operación</t>
    </r>
    <r>
      <rPr>
        <sz val="11"/>
        <color indexed="8"/>
        <rFont val="Calibri"/>
        <family val="2"/>
        <scheme val="minor"/>
      </rPr>
      <t>.-</t>
    </r>
  </si>
  <si>
    <r>
      <rPr>
        <b/>
        <sz val="11"/>
        <rFont val="Calibri"/>
        <family val="2"/>
        <scheme val="minor"/>
      </rPr>
      <t>5.-</t>
    </r>
    <r>
      <rPr>
        <sz val="11"/>
        <rFont val="Calibri"/>
        <family val="2"/>
        <scheme val="minor"/>
      </rPr>
      <t xml:space="preserve"> En la Hoja </t>
    </r>
    <r>
      <rPr>
        <b/>
        <sz val="11"/>
        <rFont val="Calibri"/>
        <family val="2"/>
        <scheme val="minor"/>
      </rPr>
      <t>DETALLE APORTES</t>
    </r>
    <r>
      <rPr>
        <sz val="11"/>
        <rFont val="Calibri"/>
        <family val="2"/>
        <scheme val="minor"/>
      </rPr>
      <t xml:space="preserve"> </t>
    </r>
    <r>
      <rPr>
        <b/>
        <sz val="11"/>
        <rFont val="Calibri"/>
        <family val="2"/>
        <scheme val="minor"/>
      </rPr>
      <t>ingresar los aportes de las Instituciones</t>
    </r>
    <r>
      <rPr>
        <sz val="11"/>
        <rFont val="Calibri"/>
        <family val="2"/>
        <scheme val="minor"/>
      </rPr>
      <t xml:space="preserve"> Beneficiaria y Asociada(s), cuando corresponda, los cuales están vinculados con la Hoja</t>
    </r>
    <r>
      <rPr>
        <b/>
        <sz val="11"/>
        <rFont val="Calibri"/>
        <family val="2"/>
        <scheme val="minor"/>
      </rPr>
      <t xml:space="preserve"> I.- EQUIPAMIENTO </t>
    </r>
    <r>
      <rPr>
        <sz val="11"/>
        <rFont val="Calibri"/>
        <family val="2"/>
        <scheme val="minor"/>
      </rPr>
      <t>y</t>
    </r>
    <r>
      <rPr>
        <b/>
        <sz val="11"/>
        <rFont val="Calibri"/>
        <family val="2"/>
        <scheme val="minor"/>
      </rPr>
      <t xml:space="preserve"> </t>
    </r>
    <r>
      <rPr>
        <sz val="11"/>
        <rFont val="Calibri"/>
        <family val="2"/>
        <scheme val="minor"/>
      </rPr>
      <t>Hoja</t>
    </r>
    <r>
      <rPr>
        <b/>
        <sz val="11"/>
        <rFont val="Calibri"/>
        <family val="2"/>
        <scheme val="minor"/>
      </rPr>
      <t xml:space="preserve"> II.- TRASLADOS, INST. OPERACIÓN</t>
    </r>
    <r>
      <rPr>
        <sz val="11"/>
        <rFont val="Calibri"/>
        <family val="2"/>
        <scheme val="minor"/>
      </rPr>
      <t xml:space="preserve">.- </t>
    </r>
    <r>
      <rPr>
        <i/>
        <sz val="11"/>
        <rFont val="Calibri"/>
        <family val="2"/>
        <scheme val="minor"/>
      </rPr>
      <t>Si modifica los montos en forma manual de los ítems comprometidos en A.1 Equipo Principal o Plataforma y/o A.2 Accesorio(s) y/o B.1. Traslados, Seguros de Traslado, Desaduanaje e IVA de Equipo y/o B.3. Instalación y Puesta en Marcha de Equipo y/o B.4. Mantención, Garantías y Seguros de Equipo y/o C.1. Capacitaciones, verificar que éstos coincidan con los ingresados en la Hoja I.- EQUIPAMIENTO.-</t>
    </r>
  </si>
  <si>
    <r>
      <rPr>
        <b/>
        <sz val="11"/>
        <color indexed="8"/>
        <rFont val="Calibri"/>
        <family val="2"/>
        <scheme val="minor"/>
      </rPr>
      <t>6.-</t>
    </r>
    <r>
      <rPr>
        <sz val="11"/>
        <color indexed="8"/>
        <rFont val="Calibri"/>
        <family val="2"/>
        <scheme val="minor"/>
      </rPr>
      <t xml:space="preserve"> El Sub-ítem </t>
    </r>
    <r>
      <rPr>
        <b/>
        <sz val="11"/>
        <color indexed="8"/>
        <rFont val="Calibri"/>
        <family val="2"/>
        <scheme val="minor"/>
      </rPr>
      <t>B.4.- Mantención, Garantías y Seguros</t>
    </r>
    <r>
      <rPr>
        <sz val="11"/>
        <color indexed="8"/>
        <rFont val="Calibri"/>
        <family val="2"/>
        <scheme val="minor"/>
      </rPr>
      <t xml:space="preserve"> debe contemplar financiamiento de forma </t>
    </r>
    <r>
      <rPr>
        <b/>
        <sz val="11"/>
        <color indexed="8"/>
        <rFont val="Calibri"/>
        <family val="2"/>
        <scheme val="minor"/>
      </rPr>
      <t>obligatoria</t>
    </r>
    <r>
      <rPr>
        <sz val="11"/>
        <color indexed="8"/>
        <rFont val="Calibri"/>
        <family val="2"/>
        <scheme val="minor"/>
      </rPr>
      <t>, ya sea, solicitado a FONDEQUIP o con Aportes Pecuniarios y/o No Pecuniarios de la(s) Institución(es).-</t>
    </r>
  </si>
  <si>
    <r>
      <rPr>
        <b/>
        <sz val="11"/>
        <color indexed="8"/>
        <rFont val="Calibri"/>
        <family val="2"/>
        <scheme val="minor"/>
      </rPr>
      <t>7.-</t>
    </r>
    <r>
      <rPr>
        <sz val="11"/>
        <color indexed="8"/>
        <rFont val="Calibri"/>
        <family val="2"/>
        <scheme val="minor"/>
      </rPr>
      <t xml:space="preserve"> El </t>
    </r>
    <r>
      <rPr>
        <b/>
        <sz val="11"/>
        <color indexed="8"/>
        <rFont val="Calibri"/>
        <family val="2"/>
        <scheme val="minor"/>
      </rPr>
      <t>Monto total solicitado a FONDEQUIP</t>
    </r>
    <r>
      <rPr>
        <sz val="11"/>
        <color indexed="8"/>
        <rFont val="Calibri"/>
        <family val="2"/>
        <scheme val="minor"/>
      </rPr>
      <t xml:space="preserve"> no puede ser mayor a</t>
    </r>
    <r>
      <rPr>
        <b/>
        <sz val="11"/>
        <color indexed="8"/>
        <rFont val="Calibri"/>
        <family val="2"/>
        <scheme val="minor"/>
      </rPr>
      <t xml:space="preserve"> $400.000.000 (cuatrocientos millones de pesos)</t>
    </r>
    <r>
      <rPr>
        <sz val="11"/>
        <color indexed="8"/>
        <rFont val="Calibri"/>
        <family val="2"/>
        <scheme val="minor"/>
      </rPr>
      <t xml:space="preserve">.- </t>
    </r>
  </si>
  <si>
    <r>
      <rPr>
        <b/>
        <sz val="11"/>
        <rFont val="Calibri"/>
        <family val="2"/>
        <scheme val="minor"/>
      </rPr>
      <t>8</t>
    </r>
    <r>
      <rPr>
        <sz val="11"/>
        <rFont val="Calibri"/>
        <family val="2"/>
        <scheme val="minor"/>
      </rPr>
      <t xml:space="preserve">.- En la Hoja </t>
    </r>
    <r>
      <rPr>
        <b/>
        <sz val="11"/>
        <rFont val="Calibri"/>
        <family val="2"/>
        <scheme val="minor"/>
      </rPr>
      <t>DETALLE PRESUPUESTO</t>
    </r>
    <r>
      <rPr>
        <sz val="11"/>
        <rFont val="Calibri"/>
        <family val="2"/>
        <scheme val="minor"/>
      </rPr>
      <t xml:space="preserve"> se deben desglosar los montos y explicar brevemente cada Sub-ítem del Presupuesto correspondiente a los aportes FONDEQUIP, Pecuniarios y No Pecuniarios, lo cual debe ser consecuente con la propuesta.</t>
    </r>
  </si>
  <si>
    <t>ACTA DE COTIZACIONES</t>
  </si>
  <si>
    <t>OBSERVACIONES</t>
  </si>
  <si>
    <t>CONSIDERAR:</t>
  </si>
  <si>
    <t>1.- Completar solamente las celdas en color CELESTE.
2.- Ingresar el monto del Equipo, Pataforma y Accesorio(s) indicado en la(s) cotización(es) respectiva(s), pudiendo considerar o no el IVA.- 
3.- Puede utilizar la sección COTIZACIÓN PRESENTADA PARA EQUIPO PRINCIPAL o COTIZACIÓN PRESENTADA PARA PLATAFORMA DE EQUIPOS.
4.- La(s) cotización(es) señalada(s) para justificar el monto solicitado en A. Equipamiento, debe(n) ser la(s) misma(s) adjuntada(s) en la Plataforma de Postulación (Etapa FORMULACIÓN / Cotizaciones) y corresponder a la misma configuración del equipamiento postulado.</t>
  </si>
  <si>
    <t xml:space="preserve">1.  Indicar el Tipo de Cambio utilizado cuando se trate de "Otra Moneda". </t>
  </si>
  <si>
    <t>Tipo de cambio utilizado (Pesos $)</t>
  </si>
  <si>
    <t>2. Seleccionar de la lista deplegable la moneda en la cual se expresan los montos en la Cotización. Se calculará automáticamente el monto equivalente en Pesos Chilenos ($).</t>
  </si>
  <si>
    <t>Dólar</t>
  </si>
  <si>
    <t>Euro</t>
  </si>
  <si>
    <t>Pesos</t>
  </si>
  <si>
    <t>Otra Moneda</t>
  </si>
  <si>
    <t>COTIZACIÓN PRESENTADA PARA EQUIPO PRINCIPAL</t>
  </si>
  <si>
    <t>N° de Cotización</t>
  </si>
  <si>
    <t>Monto Cotización</t>
  </si>
  <si>
    <t>Monto $</t>
  </si>
  <si>
    <t>Total $</t>
  </si>
  <si>
    <t>Nombre Proveedor</t>
  </si>
  <si>
    <t>A. EQUIPAMIENTO</t>
  </si>
  <si>
    <t>A.1. Equipo Principal</t>
  </si>
  <si>
    <t>Importadora Dilaco S.A.</t>
  </si>
  <si>
    <t>A.2. Accesorio(s)</t>
  </si>
  <si>
    <t>COTIZACIÓN PRESENTADA PARA PLATAFORMA DE EQUIPOS</t>
  </si>
  <si>
    <t>A.1. Plataforma - Equipo 1</t>
  </si>
  <si>
    <t>A.1. Plataforma - Equipo 2</t>
  </si>
  <si>
    <t>A.1. Plataforma - Equipo 3</t>
  </si>
  <si>
    <t>A.1. Plataforma - Equipo 4</t>
  </si>
  <si>
    <t>A.1. Plataforma - Equipo 5</t>
  </si>
  <si>
    <t>A.1. Plataforma - Equipo 6</t>
  </si>
  <si>
    <t>A.1. Plataforma - Equipo 7</t>
  </si>
  <si>
    <t>A.1. Plataforma - Equipo 8</t>
  </si>
  <si>
    <t>A.1. Plataforma - Equipo 9</t>
  </si>
  <si>
    <t>A.1. Plataforma - Equipo 10</t>
  </si>
  <si>
    <t>JUSTIFICACIÓN DEL EQUIPAMIENTO POSTULADO</t>
  </si>
  <si>
    <r>
      <t>Justifique la elección de la cotización respecto a otros proveedores y a tecnologías similares disponibles en el Mercado:</t>
    </r>
    <r>
      <rPr>
        <sz val="11"/>
        <color rgb="FF000000"/>
        <rFont val="Calibri (Body)"/>
      </rPr>
      <t xml:space="preserve"> En la actualidad, áreas como el descubrimiento de fármacos y la investigación de los mecanismos moleculares detrás de las enfermedades requieren una adecuada y completa descripción de las interacciones biomoleculares. Esta comprensión puede ser lograda estimando de manera precisa parámetros como la afinidad y la cinética entre proteínas y sus ligandos. En este sentido, la interferometría de capa biológica provista por el equipo Octet-R2, es una técnica óptica que cuantifica interacciones biomoleculares al analizar el patrón de interferencia de la luz blanca reflejada en una punta de un biosensor de fibra óptica. Equipos basados en titulación isotérmica (ITC) o resonancia de plasmón superficial (SPR), como los presentes en otras instituciones académicas chilenas, presentan algunas desventajas, tales como requerir grandes volúmenes de muestra y alta pureza de las proteínas/macromoléculas para obtener resultados significativos, lo cual implica varios meses de trabajo. Los investigadores que requieran usar esta clase de equipos además tienen necesariamente que expresar y purificar sus proteínas. Además, no permiten la medición de la cinética de unión en tiempo real. Estos equipos son delicados y necesitan personal altamente capacitado y dedicado. Finalmente, el tiempo requerido por ensayo en estos equipos es relativamente largo, oscilando entre 0,25 y 1 hora por muestra. En contraste, el equipo Octet-R2 necesita menores volúmenes de muestra y puede incluso trabajar con muestras crudas, eliminando la necesidad de muestras puras. Además, facilita un análisis cinético detallado, ofreciendo mediciones en tiempo real de parámetros importantes como la tasa de asociación, disociación y afinidad de unión entre biomoléculas, con precisión y exactitud. Octet-R2 además es un equipo de más fácil uso y mantención que SPR e ITC. Más aún, el tiempo requerido por ensayo es mucho menor al de SPR e ITC al poseer 2 sensores que trabajan al mismo tiempo en placas de 96 pocillos de forma automática. La adquisición del equipo Octet-R2 a través de esta convocatoria Fondequip Mediano representaría una oportunidad para la comunidad científica local, fortaleciendo la capacidad de investigación asociada a la generación de vacunas y fármacos en el país y fomentaría la colaboración y el intercambio científico en América Latina. Al contar con esta tecnología avanzada, los investigadores chilenos podrían acceder a herramientas de vanguardia para el estudio de procesos de reconocimiento molecular, lo que impulsaría significativamente la investigación en áreas como la bioinformática estructural, química, biotecnología, bioquímica, neurociencia y biomedicina. Como se evidencia en nuestra propuesta, la adquisición de este equipamiento podría promover un aumento significativo en la productividad científica al permitir una mayor eficiencia en la realización de experimentos y la validación de resultados obtenidos in-sílico. También tendría un impacto considerable en el diseño de péptidos, facilitando la caracterización de interacciones moleculares y la optimización de secuencias. El acceso a esta tecnología avanzada en el desarrollo de fármacos abriría nuevas oportunidades para identificar y validar blancos terapéuticos, acelerando el desarrollo de nuevos medicamentos. También impactaría directamente en el diseño de anticuerpos al proporcionar herramientas para evaluar su afinidad y especificidad. El Octet-R2 facilitaría una investigación más precisa sobre los efectos de las mutaciones genéticas en la estructura y función de las proteínas, con implicaciones importantes en la medicina personalizada. Por último, las investigaciones en moduladores de proteínas de membrana también se verán fortalecidas. De este modo, consideramos que Octet es un equipo con un gran potencial para fortalecer la investigación transdisciplinar en Chile.
</t>
    </r>
  </si>
  <si>
    <t>1.- INGRESE MONTO DEL EQUIPAMIENTO Y/O ACCESORIO(S)</t>
  </si>
  <si>
    <t>Monto ($)</t>
  </si>
  <si>
    <t>VERIFICACION</t>
  </si>
  <si>
    <r>
      <t xml:space="preserve">La suma de ambos Sub-ítems: A.1. Equipo Principal o Plataforma + A.2. Accesorio(s), debe ser igual o mayor a </t>
    </r>
    <r>
      <rPr>
        <b/>
        <sz val="11"/>
        <color indexed="8"/>
        <rFont val="Calibri"/>
        <family val="2"/>
        <scheme val="minor"/>
      </rPr>
      <t>$50.000.000</t>
    </r>
    <r>
      <rPr>
        <sz val="11"/>
        <color indexed="8"/>
        <rFont val="Calibri"/>
        <family val="2"/>
        <scheme val="minor"/>
      </rPr>
      <t xml:space="preserve"> (cincuenta millones de pesos).</t>
    </r>
  </si>
  <si>
    <t>A.1 Equipo Principal o Plataforma</t>
  </si>
  <si>
    <t>Ingrese el monto total del Equipo Principal o Plataforma y/o Accesorio(s).
El cuadro de verificación debe estar en color VERDE, para continuar con el Aporte Pecuniario Institucional.-</t>
  </si>
  <si>
    <t>A.2 Accesorio(s)</t>
  </si>
  <si>
    <t>2.- INGRESE APORTE PECUNIARIO INSTITUCIONAL</t>
  </si>
  <si>
    <r>
      <t xml:space="preserve">La suma de los </t>
    </r>
    <r>
      <rPr>
        <b/>
        <sz val="11"/>
        <color theme="1"/>
        <rFont val="Calibri"/>
        <family val="2"/>
        <scheme val="minor"/>
      </rPr>
      <t>Aportes Pecuniarios</t>
    </r>
    <r>
      <rPr>
        <sz val="11"/>
        <color theme="1"/>
        <rFont val="Calibri"/>
        <family val="2"/>
        <scheme val="minor"/>
      </rPr>
      <t xml:space="preserve"> comprometidos en A.1 Equipo Principal o Plataforma y/o A.2 Accesorio(s) y/o B.1. Traslados, Seguros de Traslado, Desaduanaje e IVA de Equipo y/o B.3. Instalación y Puesta en Marcha de Equipo y/o B.4. Mantención, Garantías y Seguros de Equipo y/o C.1. Capacitaciones, </t>
    </r>
    <r>
      <rPr>
        <b/>
        <sz val="11"/>
        <color theme="1"/>
        <rFont val="Calibri"/>
        <family val="2"/>
        <scheme val="minor"/>
      </rPr>
      <t xml:space="preserve">no puede ser menor al </t>
    </r>
    <r>
      <rPr>
        <b/>
        <sz val="11"/>
        <color indexed="8"/>
        <rFont val="Calibri"/>
        <family val="2"/>
        <scheme val="minor"/>
      </rPr>
      <t>10% del Monto Total de A.- Equipamiento (Equipo Principal o Plataforma + Accesorio(s)).</t>
    </r>
    <r>
      <rPr>
        <sz val="11"/>
        <color indexed="8"/>
        <rFont val="Calibri"/>
        <family val="2"/>
        <scheme val="minor"/>
      </rPr>
      <t xml:space="preserve">
FONDEQUIP financia hasta</t>
    </r>
    <r>
      <rPr>
        <b/>
        <sz val="11"/>
        <color indexed="8"/>
        <rFont val="Calibri"/>
        <family val="2"/>
        <scheme val="minor"/>
      </rPr>
      <t xml:space="preserve"> $400.000.000</t>
    </r>
    <r>
      <rPr>
        <sz val="11"/>
        <color indexed="8"/>
        <rFont val="Calibri"/>
        <family val="2"/>
        <scheme val="minor"/>
      </rPr>
      <t xml:space="preserve"> (cuatrocientos millones de pesos), si existe diferencia por un mayor costo del equipamiento, ésta debe ser asumida por la(s) Institución(es).</t>
    </r>
  </si>
  <si>
    <t>Una vez ingresado el monto del Equipamiento, ingrese el Aporte Pecunairo Institucional, el cual no puede ser menor al 10% del monto de A. Equipamiento y puede ser comprometidos en los siguientes sub-ítems:
A.1 Equipo Principal o Plataforma
A.2 Accesorio(s)
B.1. Traslados, Seguros de Traslado, Desaduanaje e IVA de Equipo
B.3. Instalación y Puesta en Marcha de Equipo
B.4. Mantención, Garantías y Seguros de Equipo
C.1. Capacitaciones</t>
  </si>
  <si>
    <t>B.1. Traslados, Seguros de Traslado, Desaduanaje e IVA de Equipo</t>
  </si>
  <si>
    <t>B.3. Instalación y Puesta en Marcha de Equipo</t>
  </si>
  <si>
    <t>B.4. Mantención, Garantías y Seguros de Equipo</t>
  </si>
  <si>
    <t>C.1. Capacitaciones</t>
  </si>
  <si>
    <t xml:space="preserve"> Cuando el Monto de aporte Solicitado a FONDEQUIP se encuentre aceptado, la celda de verificación debe estar en VERDE.</t>
  </si>
  <si>
    <t>3. INGRESE LOS MONTOS SOLICITADOS A FONDEQUIP PARA EL SUB-ÍTEM B. TRASLADOS E INSTALACIÓN EN LAS CELDAS CORRESPONDIENTES. 
    LOS APORTES INSTITUCIONALES ESTÁN VINCULADOS CON LA HOJA "I.- EQUIPAMIENTO" Y "DETALLE APORTES".-</t>
  </si>
  <si>
    <t>Montos Solicitados a FONDEQUIP</t>
  </si>
  <si>
    <t>Montos Aportados por la(s) Institución(es)</t>
  </si>
  <si>
    <t>CONSIDERACIONES</t>
  </si>
  <si>
    <t>Aporte Pecuniario</t>
  </si>
  <si>
    <t>Aporte No Pecuniario</t>
  </si>
  <si>
    <r>
      <t xml:space="preserve">1.- Si en </t>
    </r>
    <r>
      <rPr>
        <b/>
        <sz val="10.5"/>
        <rFont val="Calibri"/>
        <family val="2"/>
        <scheme val="minor"/>
      </rPr>
      <t>A. Equipamiento</t>
    </r>
    <r>
      <rPr>
        <sz val="10.5"/>
        <rFont val="Calibri"/>
        <family val="2"/>
        <scheme val="minor"/>
      </rPr>
      <t xml:space="preserve"> solicitó a FONDEQUIP el máximo de recursos que puede aportar por proyecto por </t>
    </r>
    <r>
      <rPr>
        <b/>
        <sz val="10.5"/>
        <rFont val="Calibri"/>
        <family val="2"/>
        <scheme val="minor"/>
      </rPr>
      <t>$400.000.000</t>
    </r>
    <r>
      <rPr>
        <sz val="10.5"/>
        <rFont val="Calibri"/>
        <family val="2"/>
        <scheme val="minor"/>
      </rPr>
      <t xml:space="preserve">, no puede solicitar financiamiento para los Sub-ítems de </t>
    </r>
    <r>
      <rPr>
        <b/>
        <sz val="10.5"/>
        <rFont val="Calibri"/>
        <family val="2"/>
        <scheme val="minor"/>
      </rPr>
      <t>B. Traslados e Instalación.</t>
    </r>
  </si>
  <si>
    <t>A.1. Equipo Principal o Plataforma</t>
  </si>
  <si>
    <t>NO APLICA</t>
  </si>
  <si>
    <t xml:space="preserve">A.2. Accesorio(s) </t>
  </si>
  <si>
    <r>
      <t xml:space="preserve">2.- El </t>
    </r>
    <r>
      <rPr>
        <b/>
        <sz val="10.5"/>
        <rFont val="Calibri"/>
        <family val="2"/>
        <scheme val="minor"/>
      </rPr>
      <t>Sub-ítem Mantención, Garantías y Seguros</t>
    </r>
    <r>
      <rPr>
        <sz val="10.5"/>
        <rFont val="Calibri"/>
        <family val="2"/>
        <scheme val="minor"/>
      </rPr>
      <t xml:space="preserve"> debe contemplar financiamiento, ya sea por FONDEQUIP y/o por la(s) Institución(es) Beneficiaria y Asociada(s), si corresponde (Pecuniario y/o No Pecuniario).</t>
    </r>
  </si>
  <si>
    <t>B.2. Adecuación Espacio para Equipo</t>
  </si>
  <si>
    <t>3.- Se recomienda incorporar el equipo a la póliza de seguro institucional (Aporte No Pecuniario).</t>
  </si>
  <si>
    <r>
      <t xml:space="preserve">4.- El </t>
    </r>
    <r>
      <rPr>
        <b/>
        <sz val="10.5"/>
        <rFont val="Calibri"/>
        <family val="2"/>
        <scheme val="minor"/>
      </rPr>
      <t>Aporte No Pecuniario</t>
    </r>
    <r>
      <rPr>
        <sz val="10.5"/>
        <rFont val="Calibri"/>
        <family val="2"/>
        <scheme val="minor"/>
      </rPr>
      <t xml:space="preserve"> debe ser, al menos, el equivalente al porcentaje no financiado por aportes pecuniarios, necesarios para cumplir con el mínimo del 50% de cofinanciamiento del monto total de </t>
    </r>
    <r>
      <rPr>
        <b/>
        <sz val="10.5"/>
        <rFont val="Calibri"/>
        <family val="2"/>
        <scheme val="minor"/>
      </rPr>
      <t>A. Equipamiento</t>
    </r>
    <r>
      <rPr>
        <sz val="10.5"/>
        <rFont val="Calibri"/>
        <family val="2"/>
        <scheme val="minor"/>
      </rPr>
      <t>.</t>
    </r>
  </si>
  <si>
    <t>C.2. Otros Gastos de Operación</t>
  </si>
  <si>
    <t>C.3. Gastos Administración</t>
  </si>
  <si>
    <t xml:space="preserve"> Cuando los Montos de los aportes, tanto de FONDEQUIP como de la(s) Institución(es), cumplan con las reglas de financiamiento y co-financiamiento establecidas por bases, las celdas de VERIFICACIÓN DE APORTES estarán en VERDE. No deben existir alertas en ROJO.</t>
  </si>
  <si>
    <t>TOTALES</t>
  </si>
  <si>
    <t>TOTAL A. EQUIPAMIENTO</t>
  </si>
  <si>
    <t>MÍNIMO APORTES = 50% DEL MONTO TOTAL DE A. EQUIPAMIENTO</t>
  </si>
  <si>
    <t>TOTAL PECUNIARIO + TOTAL NO PECUNIARIO</t>
  </si>
  <si>
    <t>APORTE FONDEQUIP A. EQUIPAMIENTO</t>
  </si>
  <si>
    <t>MÁXIMO A FINANCIAR B. TRASLADOS E INSTALACIÓN</t>
  </si>
  <si>
    <t>TOTAL B. TRASLADOS E INSTALACIÓN</t>
  </si>
  <si>
    <t>% DE A. EQUIPAMIENTO</t>
  </si>
  <si>
    <t>DETALLE APORTES INSTITUCIONALES</t>
  </si>
  <si>
    <t>Total APORTES al Proyecto</t>
  </si>
  <si>
    <t>Montos aportados por la INSTITUCIÓN BENEFICIARIA</t>
  </si>
  <si>
    <t>Montos aportados por la INSTITUCIÓN ASOCIADA 1</t>
  </si>
  <si>
    <t>Montos aportados por la INSTITUCIÓN ASOCIADA 2</t>
  </si>
  <si>
    <t>Montos aportados por la INSTITUCIÓN ASOCIADA 3</t>
  </si>
  <si>
    <t>Montos aportados por la INSTITUCIÓN ASOCIADA 4</t>
  </si>
  <si>
    <t>Montos aportados por la INSTITUCIÓN ASOCIADA 5</t>
  </si>
  <si>
    <t>Ítem</t>
  </si>
  <si>
    <t>Conjunto Sub-Ítem</t>
  </si>
  <si>
    <t>Sub-Ítem</t>
  </si>
  <si>
    <t>Pecuniario</t>
  </si>
  <si>
    <t>No Pecuniario</t>
  </si>
  <si>
    <t>EQUIPAMIENTO</t>
  </si>
  <si>
    <t>A</t>
  </si>
  <si>
    <t>B</t>
  </si>
  <si>
    <t>TRASLADOS e INSTALACION</t>
  </si>
  <si>
    <t>G. DE OPERACIÓN</t>
  </si>
  <si>
    <t>C</t>
  </si>
  <si>
    <t>OPERACIÓN</t>
  </si>
  <si>
    <t>C.3. Gastos de Administración</t>
  </si>
  <si>
    <t>PRESUPUESTO FINAL</t>
  </si>
  <si>
    <t>Si existen celdas con alertas en ROJO, significa que su presupuesto no cumple con las reglas establecidas por Bases (Inadmisible).-</t>
  </si>
  <si>
    <t>Costo Total del
Proyecto</t>
  </si>
  <si>
    <t>Montos solicitados a FONDEQUIP</t>
  </si>
  <si>
    <t>Montos aportados por la(s) INSTITUCIÓN(ES)</t>
  </si>
  <si>
    <t>TRASLADOS e INSTALACIÓN</t>
  </si>
  <si>
    <t>(NO COMPLETAR O MODIFICAR)</t>
  </si>
  <si>
    <t>DETALLE PRESUPUESTO</t>
  </si>
  <si>
    <t>Sub-ítem</t>
  </si>
  <si>
    <t>Costo Total del Proyecto</t>
  </si>
  <si>
    <t>Desglose los montos y explique brevemente cada Sub-ítem del Presupuesto, debe referirse a los aportes FONDEQUIP, Pecuniarios y No Pecuniarios.</t>
  </si>
  <si>
    <r>
      <rPr>
        <b/>
        <u/>
        <sz val="11"/>
        <color theme="1"/>
        <rFont val="Calibri"/>
        <family val="2"/>
        <scheme val="minor"/>
      </rPr>
      <t>Detalle Aportes FONDEQUIP</t>
    </r>
    <r>
      <rPr>
        <sz val="11"/>
        <color theme="1"/>
        <rFont val="Calibri"/>
        <family val="2"/>
        <scheme val="minor"/>
      </rPr>
      <t xml:space="preserve">: 
</t>
    </r>
    <r>
      <rPr>
        <sz val="10.5"/>
        <color theme="1"/>
        <rFont val="Calibri"/>
        <family val="2"/>
        <scheme val="minor"/>
      </rPr>
      <t xml:space="preserve">En este ítem se ha incluido </t>
    </r>
    <r>
      <rPr>
        <b/>
        <sz val="10.5"/>
        <color theme="1"/>
        <rFont val="Calibri"/>
        <family val="2"/>
        <scheme val="minor"/>
      </rPr>
      <t>el Impuesto de Valor Agregado del Equipo Principal</t>
    </r>
    <r>
      <rPr>
        <sz val="10.5"/>
        <color theme="1"/>
        <rFont val="Calibri"/>
        <family val="2"/>
        <scheme val="minor"/>
      </rPr>
      <t>, el cual corresponde a</t>
    </r>
    <r>
      <rPr>
        <b/>
        <sz val="10.5"/>
        <color theme="1"/>
        <rFont val="Calibri"/>
        <family val="2"/>
        <scheme val="minor"/>
      </rPr>
      <t xml:space="preserve"> $44.925.502.</t>
    </r>
    <r>
      <rPr>
        <sz val="10.5"/>
        <color theme="1"/>
        <rFont val="Calibri"/>
        <family val="2"/>
        <scheme val="minor"/>
      </rPr>
      <t xml:space="preserve">
Se solicitan </t>
    </r>
    <r>
      <rPr>
        <b/>
        <sz val="10.5"/>
        <color theme="1"/>
        <rFont val="Calibri"/>
        <family val="2"/>
        <scheme val="minor"/>
      </rPr>
      <t xml:space="preserve">$15.518.237 IVA Incluido </t>
    </r>
    <r>
      <rPr>
        <sz val="10.5"/>
        <color theme="1"/>
        <rFont val="Calibri"/>
        <family val="2"/>
        <scheme val="minor"/>
      </rPr>
      <t xml:space="preserve">a FONDEQUIP para cubrir los costos asociados al flete internacional del equipo a Chile (En cotización del proveedor el costo neto para el flete internacional es de $13.040.535). 
El traslado del equipo desde la bodega del proveedor Importadora DILACO S.A. hasta el Laboratorio de Ingeniería de Proteínas, ubicado en República 330, Santiago Centro se encuentra considerado en las condiciones comerciales de la compra del equipo. 
</t>
    </r>
  </si>
  <si>
    <r>
      <rPr>
        <b/>
        <u/>
        <sz val="11"/>
        <color theme="1"/>
        <rFont val="Calibri"/>
        <family val="2"/>
        <scheme val="minor"/>
      </rPr>
      <t>Detalle Aportes Pecuniarios</t>
    </r>
    <r>
      <rPr>
        <sz val="10.5"/>
        <color theme="1"/>
        <rFont val="Calibri"/>
        <family val="2"/>
        <scheme val="minor"/>
      </rPr>
      <t xml:space="preserve">:
N/A
</t>
    </r>
  </si>
  <si>
    <r>
      <rPr>
        <b/>
        <u/>
        <sz val="11"/>
        <color theme="1"/>
        <rFont val="Calibri"/>
        <family val="2"/>
        <scheme val="minor"/>
      </rPr>
      <t>Detalle Aportes No Pecuniarios</t>
    </r>
    <r>
      <rPr>
        <sz val="10.5"/>
        <color theme="1"/>
        <rFont val="Calibri"/>
        <family val="2"/>
        <scheme val="minor"/>
      </rPr>
      <t xml:space="preserve">:
N/A
</t>
    </r>
  </si>
  <si>
    <r>
      <rPr>
        <b/>
        <u/>
        <sz val="11"/>
        <color theme="1"/>
        <rFont val="Calibri"/>
        <family val="2"/>
        <scheme val="minor"/>
      </rPr>
      <t>Detalle Aportes FONDEQUIP</t>
    </r>
    <r>
      <rPr>
        <sz val="11"/>
        <color theme="1"/>
        <rFont val="Calibri"/>
        <family val="2"/>
        <scheme val="minor"/>
      </rPr>
      <t xml:space="preserve">: 
</t>
    </r>
    <r>
      <rPr>
        <sz val="10.5"/>
        <color theme="1"/>
        <rFont val="Calibri"/>
        <family val="2"/>
        <scheme val="minor"/>
      </rPr>
      <t xml:space="preserve">
N/A
</t>
    </r>
  </si>
  <si>
    <r>
      <rPr>
        <b/>
        <u/>
        <sz val="11"/>
        <color theme="1"/>
        <rFont val="Calibri"/>
        <family val="2"/>
        <scheme val="minor"/>
      </rPr>
      <t>Detalle Aportes Pecuniarios</t>
    </r>
    <r>
      <rPr>
        <sz val="10.5"/>
        <color theme="1"/>
        <rFont val="Calibri"/>
        <family val="2"/>
        <scheme val="minor"/>
      </rPr>
      <t xml:space="preserve">:
N/A
</t>
    </r>
  </si>
  <si>
    <r>
      <rPr>
        <b/>
        <u/>
        <sz val="11"/>
        <color theme="1"/>
        <rFont val="Calibri"/>
        <family val="2"/>
        <scheme val="minor"/>
      </rPr>
      <t>Detalle Aportes No Pecuniarios</t>
    </r>
    <r>
      <rPr>
        <sz val="10.5"/>
        <color theme="1"/>
        <rFont val="Calibri"/>
        <family val="2"/>
        <scheme val="minor"/>
      </rPr>
      <t>:
La adquisición del equipo OCTET R2 requiere realizar pequeñas adecuaciones de infraestructura en el Laboratorio de Ingeniería en Proteínas del Centro de Bioinformática y Biología Integrativa;  se requerirá construir aproximadamente tres metros de mesón en el cual será instalado en equipo postulado. Además, para guardar los reactivos y biosensores que requiere el equipo, se necesitará construir un metro de mueble en altura. Posterior a estos cambios, también será necesario, una reorganización de los equipos existentes y/o  de los espacios. Los costos asociados a este ítem correponden a aportes no pecuniarios de la Institución Beneficiaria. (</t>
    </r>
    <r>
      <rPr>
        <b/>
        <sz val="10.5"/>
        <color theme="1"/>
        <rFont val="Calibri"/>
        <family val="2"/>
        <scheme val="minor"/>
      </rPr>
      <t>$1.500.000</t>
    </r>
    <r>
      <rPr>
        <sz val="10.5"/>
        <color theme="1"/>
        <rFont val="Calibri"/>
        <family val="2"/>
        <scheme val="minor"/>
      </rPr>
      <t xml:space="preserve">).
</t>
    </r>
  </si>
  <si>
    <r>
      <rPr>
        <b/>
        <u/>
        <sz val="11"/>
        <color theme="1"/>
        <rFont val="Calibri"/>
        <family val="2"/>
        <scheme val="minor"/>
      </rPr>
      <t>Detalle Aportes FONDEQUIP</t>
    </r>
    <r>
      <rPr>
        <sz val="11"/>
        <color theme="1"/>
        <rFont val="Calibri"/>
        <family val="2"/>
        <scheme val="minor"/>
      </rPr>
      <t xml:space="preserve">: 
</t>
    </r>
    <r>
      <rPr>
        <sz val="10.5"/>
        <color theme="1"/>
        <rFont val="Calibri"/>
        <family val="2"/>
        <scheme val="minor"/>
      </rPr>
      <t xml:space="preserve">Con cargo al presupuesto solicitado a FONDEQUIP, se consideran los costos de instalación y puesta en marcha el equipo OCTET R2 por un monto de </t>
    </r>
    <r>
      <rPr>
        <b/>
        <sz val="10.5"/>
        <color theme="1"/>
        <rFont val="Calibri"/>
        <family val="2"/>
        <scheme val="minor"/>
      </rPr>
      <t>$5.627.992 IVA incluido</t>
    </r>
    <r>
      <rPr>
        <sz val="10.5"/>
        <color theme="1"/>
        <rFont val="Calibri"/>
        <family val="2"/>
        <scheme val="minor"/>
      </rPr>
      <t xml:space="preserve"> (En cotización del proveedor los costos netos para la instalación y puesta en marcha del equipo equivalen a $4.729.405, desglosados de la siguiente forma: instalación equipo OCTET R2 por un costo de $4.420.966 y la Calificación de Instalación y Operación  IQ/OQ por un monto de $308.439). La instalación y puesta en marcha del equipo será realizado por personal específico asignado por el proveedor.
Se solicita a FONDEQUIP un monto de</t>
    </r>
    <r>
      <rPr>
        <b/>
        <sz val="10.5"/>
        <color theme="1"/>
        <rFont val="Calibri"/>
        <family val="2"/>
        <scheme val="minor"/>
      </rPr>
      <t xml:space="preserve"> $300.000 IVA incluido</t>
    </r>
    <r>
      <rPr>
        <sz val="10.5"/>
        <color theme="1"/>
        <rFont val="Calibri"/>
        <family val="2"/>
        <scheme val="minor"/>
      </rPr>
      <t xml:space="preserve"> para cubrir los costos de elaboración de las placas de identificación, tanto para el equipo, como para el accesorio postulado, con la finalidad de cumplir con lo que se indica en las bases del concurso. 
</t>
    </r>
  </si>
  <si>
    <r>
      <rPr>
        <b/>
        <u/>
        <sz val="11"/>
        <color theme="1"/>
        <rFont val="Calibri"/>
        <family val="2"/>
        <scheme val="minor"/>
      </rPr>
      <t>Detalle Aportes Pecuniarios</t>
    </r>
    <r>
      <rPr>
        <sz val="10.5"/>
        <color theme="1"/>
        <rFont val="Calibri"/>
        <family val="2"/>
        <scheme val="minor"/>
      </rPr>
      <t xml:space="preserve">:
N/A
</t>
    </r>
  </si>
  <si>
    <r>
      <rPr>
        <b/>
        <u/>
        <sz val="11"/>
        <color theme="1"/>
        <rFont val="Calibri"/>
        <family val="2"/>
        <scheme val="minor"/>
      </rPr>
      <t>Detalle Aportes No Pecuniarios</t>
    </r>
    <r>
      <rPr>
        <sz val="10.5"/>
        <color theme="1"/>
        <rFont val="Calibri"/>
        <family val="2"/>
        <scheme val="minor"/>
      </rPr>
      <t xml:space="preserve">:
N/A
</t>
    </r>
  </si>
  <si>
    <r>
      <rPr>
        <b/>
        <u/>
        <sz val="11"/>
        <color theme="1"/>
        <rFont val="Calibri"/>
        <family val="2"/>
        <scheme val="minor"/>
      </rPr>
      <t>Detalle Aportes FONDEQUIP</t>
    </r>
    <r>
      <rPr>
        <sz val="11"/>
        <color theme="1"/>
        <rFont val="Calibri"/>
        <family val="2"/>
        <scheme val="minor"/>
      </rPr>
      <t xml:space="preserve">: 
</t>
    </r>
    <r>
      <rPr>
        <sz val="10.5"/>
        <color theme="1"/>
        <rFont val="Calibri"/>
        <family val="2"/>
        <scheme val="minor"/>
      </rPr>
      <t>En este ítem y con aporte solicitado a FONDEQUIP se consideran los costos de mantención y garantía  del equipo con visita in situ de un especialista enviado por el proveedor Importadora DILACO S.A. El monto a solicitar para cubrir estos costos es de</t>
    </r>
    <r>
      <rPr>
        <b/>
        <sz val="10.5"/>
        <color theme="1"/>
        <rFont val="Calibri"/>
        <family val="2"/>
        <scheme val="minor"/>
      </rPr>
      <t xml:space="preserve"> $19.064.081 IVA incluido</t>
    </r>
    <r>
      <rPr>
        <sz val="10.5"/>
        <color theme="1"/>
        <rFont val="Calibri"/>
        <family val="2"/>
        <scheme val="minor"/>
      </rPr>
      <t xml:space="preserve">. (En cotización del proveedor los costos netos para este ítem son de $16.020.236, desglosados de la siguiente forma: mantenimiento, por un costo de $16.020.235 y garantía por un monto de $1.).
</t>
    </r>
  </si>
  <si>
    <r>
      <rPr>
        <b/>
        <u/>
        <sz val="11"/>
        <color theme="1"/>
        <rFont val="Calibri"/>
        <family val="2"/>
        <scheme val="minor"/>
      </rPr>
      <t>Detalle Aportes Pecuniarios</t>
    </r>
    <r>
      <rPr>
        <sz val="10.5"/>
        <color theme="1"/>
        <rFont val="Calibri"/>
        <family val="2"/>
        <scheme val="minor"/>
      </rPr>
      <t xml:space="preserve">:
N/A
</t>
    </r>
  </si>
  <si>
    <r>
      <rPr>
        <b/>
        <u/>
        <sz val="11"/>
        <color theme="1"/>
        <rFont val="Calibri"/>
        <family val="2"/>
        <scheme val="minor"/>
      </rPr>
      <t>Detalle Aportes No Pecuniarios</t>
    </r>
    <r>
      <rPr>
        <sz val="10.5"/>
        <color theme="1"/>
        <rFont val="Calibri"/>
        <family val="2"/>
        <scheme val="minor"/>
      </rPr>
      <t xml:space="preserve">:
Como aporte no pecuniario se considera  el costo mensual de incluir el equipo postulado y su accesorio a la póliza de seguro general que actualmente tiene la Universidad. Para esto, se considera la variación mensual que tendrá el valor de la prima del seguro, luego de incorporar el equipo y su accesorio a la póliza.  Se estima la incorporación a la póliza en el mes 7 (mes de instalación) hasta el final del proyecto (mes 30). El monto del aporte no pecuniario en este ítem es de </t>
    </r>
    <r>
      <rPr>
        <b/>
        <sz val="10.5"/>
        <color theme="1"/>
        <rFont val="Calibri"/>
        <family val="2"/>
        <scheme val="minor"/>
      </rPr>
      <t>$1.126.793.-</t>
    </r>
    <r>
      <rPr>
        <sz val="10.5"/>
        <color theme="1"/>
        <rFont val="Calibri"/>
        <family val="2"/>
        <scheme val="minor"/>
      </rPr>
      <t xml:space="preserve">
</t>
    </r>
  </si>
  <si>
    <t>GASTOS DE OPERACIÓN</t>
  </si>
  <si>
    <r>
      <rPr>
        <b/>
        <u/>
        <sz val="11"/>
        <color theme="1"/>
        <rFont val="Calibri"/>
        <family val="2"/>
        <scheme val="minor"/>
      </rPr>
      <t>Detalle Aportes FONDEQUIP</t>
    </r>
    <r>
      <rPr>
        <sz val="11"/>
        <color theme="1"/>
        <rFont val="Calibri"/>
        <family val="2"/>
        <scheme val="minor"/>
      </rPr>
      <t xml:space="preserve">: 
</t>
    </r>
    <r>
      <rPr>
        <sz val="10.5"/>
        <color theme="1"/>
        <rFont val="Calibri"/>
        <family val="2"/>
        <scheme val="minor"/>
      </rPr>
      <t xml:space="preserve">
N/A
</t>
    </r>
  </si>
  <si>
    <r>
      <rPr>
        <b/>
        <u/>
        <sz val="11"/>
        <color theme="1"/>
        <rFont val="Calibri"/>
        <family val="2"/>
        <scheme val="minor"/>
      </rPr>
      <t>Detalle Aportes Pecuniarios</t>
    </r>
    <r>
      <rPr>
        <sz val="10.5"/>
        <color theme="1"/>
        <rFont val="Calibri"/>
        <family val="2"/>
        <scheme val="minor"/>
      </rPr>
      <t xml:space="preserve">:
Como aporte pecuniario de la Institución Beneficiaria se consideran los costos asociados a la capacitación que será entregada por el proveedor del equipo; capacitación que contempla formación específica y detallada sobre el uso de equipo OCTET R2 y que tiene un costo de </t>
    </r>
    <r>
      <rPr>
        <b/>
        <sz val="10.5"/>
        <color theme="1"/>
        <rFont val="Calibri"/>
        <family val="2"/>
        <scheme val="minor"/>
      </rPr>
      <t>$6.606.773 IVA incluido</t>
    </r>
    <r>
      <rPr>
        <sz val="10.5"/>
        <color theme="1"/>
        <rFont val="Calibri"/>
        <family val="2"/>
        <scheme val="minor"/>
      </rPr>
      <t xml:space="preserve">. (En cotización del proveedor el costo neto para este ítem es de  $5.551.910).
</t>
    </r>
  </si>
  <si>
    <r>
      <rPr>
        <b/>
        <u/>
        <sz val="11"/>
        <color theme="1"/>
        <rFont val="Calibri"/>
        <family val="2"/>
        <scheme val="minor"/>
      </rPr>
      <t>Detalle Aportes No Pecuniarios</t>
    </r>
    <r>
      <rPr>
        <sz val="10.5"/>
        <color theme="1"/>
        <rFont val="Calibri"/>
        <family val="2"/>
        <scheme val="minor"/>
      </rPr>
      <t xml:space="preserve">:
Como aporte no pecuniario  se valoriza el tiempo que dedicarán tanto,  la Coordinadora Responsable (CR), Dra. Valeria Márquez, como la investigadora asociada, Dra. Yorley Duarte, para capacitar a: colaboradores de la propuesta, investigadores experimentalistas, postdoc y técnicos de otros laboratorios de la institución beneficiaria y tesistas doctorales de los programas de la propuesta, que se interesen en conocer y aprender el funcionamiento del equipo. 
Para la Dr. Márquez se considera un compromiso mensual de 16 horas por 12 meses  (Valor hora $18.103 - Total valorizado $3.475.776). 
Para la Dr. Duarte  se considera un compromiso mensual de 12 horas por 12 meses  (Valor hora $17.091 - Total valorizado $2.461.104).
El monto total de aporte valorizado en este ítem es de </t>
    </r>
    <r>
      <rPr>
        <b/>
        <sz val="10.5"/>
        <color theme="1"/>
        <rFont val="Calibri"/>
        <family val="2"/>
        <scheme val="minor"/>
      </rPr>
      <t>$5.936.880.</t>
    </r>
    <r>
      <rPr>
        <sz val="10.5"/>
        <color theme="1"/>
        <rFont val="Calibri"/>
        <family val="2"/>
        <scheme val="minor"/>
      </rPr>
      <t xml:space="preserve">
Se contempla que estas capacitaciones a los usuarios antes mencionados ocurran transcurrido un año desde la puesta en marcha del equipo.
</t>
    </r>
  </si>
  <si>
    <r>
      <rPr>
        <b/>
        <u/>
        <sz val="11"/>
        <color theme="1"/>
        <rFont val="Calibri"/>
        <family val="2"/>
        <scheme val="minor"/>
      </rPr>
      <t>Detalle Aportes No Pecuniarios</t>
    </r>
    <r>
      <rPr>
        <sz val="10.5"/>
        <color theme="1"/>
        <rFont val="Calibri"/>
        <family val="2"/>
        <scheme val="minor"/>
      </rPr>
      <t xml:space="preserve">:
El aporte no pecuniario de la institución beneficiaria en este ítem es de </t>
    </r>
    <r>
      <rPr>
        <b/>
        <sz val="10.5"/>
        <color theme="1"/>
        <rFont val="Calibri"/>
        <family val="2"/>
        <scheme val="minor"/>
      </rPr>
      <t>$85.610.320</t>
    </r>
    <r>
      <rPr>
        <sz val="10.5"/>
        <color theme="1"/>
        <rFont val="Calibri"/>
        <family val="2"/>
        <scheme val="minor"/>
      </rPr>
      <t>, según el siguiente detalle:
- Valorización de recursos humanos (</t>
    </r>
    <r>
      <rPr>
        <b/>
        <i/>
        <sz val="10.5"/>
        <color theme="1"/>
        <rFont val="Calibri"/>
        <family val="2"/>
        <scheme val="minor"/>
      </rPr>
      <t>$17.866.272</t>
    </r>
    <r>
      <rPr>
        <sz val="10.5"/>
        <color theme="1"/>
        <rFont val="Calibri"/>
        <family val="2"/>
        <scheme val="minor"/>
      </rPr>
      <t>): Aquí se incluye la valorización del tiempo utilizado por la Coordinadora Responsable (CR) para darle seguimiento y continuidad al proyecto, desde la puesta en marcha del equipo (mes 7) hasta el término de la ejecución del proyecto (Valor hora $18.103 - 20 horas mensuales comprometidas por 24 meses - Total Valorizado: $8.689.440).  Para el mismo periodo de ejecución (mes 7 a mes 30), se incluye también la valorización del profesional especializado existente en la institución beneficiaria quien trabajará en coordinación con la CR  (Valor hora $7.966 - 48 horas mensuales comprometidas por 24 meses - Total Valorizado: $9.176.832).  Este profesional apoyará a la Coordinadora Responsable (CR) durante la ejecución del proyecto, operando el equipo cuando sea requerido y coordinando las mantenciones respectivas. Por esta razón, también será capacitado por el especialista enviado por el proveedor. Este profesional actualmente cuenta con contrato indefinido en la institución, por lo que,  dada la existencia de este profesional, no se asignó el aporte pecuniario de la institución beneficiaria en este ítem.
- Valorización Infraestructura (</t>
    </r>
    <r>
      <rPr>
        <b/>
        <i/>
        <sz val="10.5"/>
        <color theme="1"/>
        <rFont val="Calibri"/>
        <family val="2"/>
        <scheme val="minor"/>
      </rPr>
      <t>$67.744.048</t>
    </r>
    <r>
      <rPr>
        <sz val="10.5"/>
        <color theme="1"/>
        <rFont val="Calibri"/>
        <family val="2"/>
        <scheme val="minor"/>
      </rPr>
      <t xml:space="preserve">):  Para calcular el aporte valorizado en infraestructura se utilizó la siguiente fórmula: Valor metro cuadrado * metros cuadrados utilizados en el proyecto * porcentaje de uso en el proyecto * número de meses de uso. El Valor del metro cuadrado es de $498.118 y se obtuvo de de la siguiente operación:  Avalúo fiscal del edificio donde se instalará el equipo (Edificio R1, ubicado en República 330, Santiago)  /  cantidad de metros cuadrados útiles del edificio. 
Infreaestructura a utilizar: Sala de Cultivo  (6 m2), Laboratorio de Ingeniería de Proteínas (18 m2) y Sala de Reuniones (26 m2) del Centro de Bioinformática y Biología Integrativa. 
Sala de Cultivo y Laboratorio de Ingeniería de Proteínas ($57.383.194): 24 metros cuadrados - se valoriza un 20% de su uso en el proyecto - 24 meses de uso; En las instalaciones de la Sala de Cultivo se prepararán las muestras en las condiciones específicas, según los requerimientos de cada investigación, para posteriormente ser analizadas en el equipo OCTET R2 que estará ubicado en el Laboratorio de Ingeniería de Proteínas. Se considera la utilización de estas infraestructuras desde la puesta en marcha del equipo (mes 7) hasta el término de la ejecución del proyecto (mes 30).  (Valor mensual $2.390.966,417 - 24 meses de uso). 
Sala de reuniones ($10.360.854):  26 metros cuadrados - se valoriza un 10% de su uso en el proyecto - 8 meses de uso; Se considera su uso para que se realicen las capacitaciones teóricas que tanto la Coordinadora Responsable como la Investigadora Asociada dictarán a los distintos usuarios, luego del primer año de la puesta en marcha del equipo (entre el mes 19 y el mes 30). Se considera también su uso para realizar charlas, seminarios y/o talleres de difusión del equipo a la comunidad científica y a estudiantes.  (Valor mensual $1.295.106,75 - 8 meses de uso). 
</t>
    </r>
  </si>
  <si>
    <r>
      <rPr>
        <b/>
        <u/>
        <sz val="11"/>
        <color theme="1"/>
        <rFont val="Calibri"/>
        <family val="2"/>
        <scheme val="minor"/>
      </rPr>
      <t>Detalle Aportes No Pecuniarios</t>
    </r>
    <r>
      <rPr>
        <sz val="10.5"/>
        <color theme="1"/>
        <rFont val="Calibri"/>
        <family val="2"/>
        <scheme val="minor"/>
      </rPr>
      <t xml:space="preserve">:
Se incluye valorización de recursos humanos por gestiones asociadas a la ejecución de la primera etapa del proyecto (mes 1 a mes 18), tanto en lo que respecta al proceso de compra del equipo como a la rendición de los recursos transferidos por ANID y a los aportes comprometidos por la institución beneficiara.(Coordinadora proyecto y personal administrativo). 
Se considera que la coordinadora responsable de esta propuesta participará durante los primeros 6 meses  en el proceso de compra y gestiones de adquisición del equipo OCTET R2 (Valor hora  $18.103 - 20 horas mensuales comprometidas por 6 meses). Lo anterior, se realizará  en conjunto con el personal administrativo de la institución beneficiaria encargado de las gestiones de pago de la compra del equipo y de preparar la documentación necesaria para las declaraciones y rendiciones que se deberán presentar a ANID, en el marco del instructivo de rendiciones y las bases del concurso (Valor hora personal administrativo: $6.500 - 18 horas mensuales comprometidas por 18 meses).
El monto total de aporte no pecuniario en este ítem es de </t>
    </r>
    <r>
      <rPr>
        <b/>
        <sz val="10.5"/>
        <color theme="1"/>
        <rFont val="Calibri"/>
        <family val="2"/>
        <scheme val="minor"/>
      </rPr>
      <t>$4.278.360.</t>
    </r>
    <r>
      <rPr>
        <sz val="10.5"/>
        <color theme="1"/>
        <rFont val="Calibri"/>
        <family val="2"/>
        <scheme val="minor"/>
      </rPr>
      <t xml:space="preserve">
</t>
    </r>
  </si>
  <si>
    <t>PRESUPUESTO MODIFICADO</t>
  </si>
  <si>
    <t>USO INTERNO DEIA</t>
  </si>
  <si>
    <t>Montos Adjudicados FONDEQUIP</t>
  </si>
  <si>
    <t>Presupuesto Aprobado</t>
  </si>
  <si>
    <t>Modificación Solicitada
(Fecha:    )</t>
  </si>
  <si>
    <t>Presupuesto Modificado</t>
  </si>
  <si>
    <t>Pecuniario Comprometido</t>
  </si>
  <si>
    <t>Pecuniario Modificado</t>
  </si>
  <si>
    <t>No Pecuniario Comprometido</t>
  </si>
  <si>
    <t>No Pecuniario Modificado</t>
  </si>
  <si>
    <t>APORTE PECUNIARIO (10%)</t>
  </si>
  <si>
    <t xml:space="preserve">TOTAL APORTES PECUNIARIOS </t>
  </si>
  <si>
    <t xml:space="preserve">TOTAL APORTES NO PECUNIARIOS </t>
  </si>
  <si>
    <t>TOTAL APORTES</t>
  </si>
  <si>
    <t>PRESUPUESTO FINAL V/S MONTOS RENDIDOS</t>
  </si>
  <si>
    <t>Montos Ajudicados FONDEQUIP</t>
  </si>
  <si>
    <t>Rendición de Cuentas</t>
  </si>
  <si>
    <t>Saldo por Rendir</t>
  </si>
  <si>
    <t>RENDIDO</t>
  </si>
  <si>
    <t>APORTE PECUNIARIO 10%</t>
  </si>
  <si>
    <t>COTIZACIÓN POSTULACIÓN</t>
  </si>
  <si>
    <t>COTIZACIÓN ACTUALIZADA</t>
  </si>
  <si>
    <t>FACTURA N°</t>
  </si>
  <si>
    <t>Tipo de Cambio</t>
  </si>
  <si>
    <t>RENDICIÓN DE CUENTAS</t>
  </si>
  <si>
    <t>DETALLE</t>
  </si>
  <si>
    <t>USD</t>
  </si>
  <si>
    <t>PESOS</t>
  </si>
  <si>
    <t>FONDEQUIP</t>
  </si>
  <si>
    <t>PECUNIARIO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</si>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</sst>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quot;$&quot;\ * #,##0_-;\-&quot;$&quot;\ * #,##0_-;_-&quot;$&quot;\ * &quot;-&quot;??_-;_-@_-"/>
    <numFmt numFmtId="167" formatCode="_-* #,##0.00_-;\-* #,##0.00_-;_-* &quot;-&quot;_-;_-@_-"/>
    <numFmt numFmtId="168" formatCode="_-* #,##0.0_-;\-* #,##0.0_-;_-* &quot;-&quot;_-;_-@_-"/>
  </numFmts>
  <fonts count="65">
    <font>
      <sz val="11"/>
      <color theme="1"/>
      <name val="Calibri"/>
      <family val="2"/>
      <scheme val="minor"/>
    </font>
    <font>
      <b/>
      <sz val="9"/>
      <color indexed="81"/>
      <name val="Tahoma"/>
      <family val="2"/>
    </font>
    <font>
      <sz val="11"/>
      <color theme="1"/>
      <name val="Calibri"/>
      <family val="2"/>
      <scheme val="minor"/>
    </font>
    <font>
      <sz val="9"/>
      <color indexed="81"/>
      <name val="Tahoma"/>
      <family val="2"/>
    </font>
    <font>
      <b/>
      <sz val="11"/>
      <name val="Calibri"/>
      <family val="2"/>
      <scheme val="minor"/>
    </font>
    <font>
      <b/>
      <sz val="11"/>
      <color theme="1"/>
      <name val="Calibri"/>
      <family val="2"/>
      <scheme val="minor"/>
    </font>
    <font>
      <sz val="9"/>
      <color theme="0"/>
      <name val="Calibri"/>
      <family val="2"/>
      <scheme val="minor"/>
    </font>
    <font>
      <sz val="9"/>
      <color theme="1"/>
      <name val="Calibri"/>
      <family val="2"/>
      <scheme val="minor"/>
    </font>
    <font>
      <b/>
      <sz val="14"/>
      <color theme="0"/>
      <name val="Calibri"/>
      <family val="2"/>
      <scheme val="minor"/>
    </font>
    <font>
      <b/>
      <sz val="9"/>
      <color theme="0"/>
      <name val="Calibri"/>
      <family val="2"/>
      <scheme val="minor"/>
    </font>
    <font>
      <b/>
      <sz val="9"/>
      <name val="Calibri"/>
      <family val="2"/>
      <scheme val="minor"/>
    </font>
    <font>
      <sz val="9"/>
      <name val="Calibri"/>
      <family val="2"/>
      <scheme val="minor"/>
    </font>
    <font>
      <b/>
      <sz val="9"/>
      <color theme="1"/>
      <name val="Calibri"/>
      <family val="2"/>
      <scheme val="minor"/>
    </font>
    <font>
      <b/>
      <sz val="10"/>
      <color theme="0"/>
      <name val="Calibri"/>
      <family val="2"/>
      <scheme val="minor"/>
    </font>
    <font>
      <sz val="10"/>
      <color theme="1"/>
      <name val="Calibri"/>
      <family val="2"/>
      <scheme val="minor"/>
    </font>
    <font>
      <sz val="11"/>
      <color theme="0"/>
      <name val="Calibri"/>
      <family val="2"/>
      <scheme val="minor"/>
    </font>
    <font>
      <b/>
      <sz val="11"/>
      <color theme="0"/>
      <name val="Calibri"/>
      <family val="2"/>
      <scheme val="minor"/>
    </font>
    <font>
      <sz val="12"/>
      <color theme="0"/>
      <name val="Calibri"/>
      <family val="2"/>
      <scheme val="minor"/>
    </font>
    <font>
      <b/>
      <sz val="12"/>
      <color theme="0"/>
      <name val="Calibri"/>
      <family val="2"/>
      <scheme val="minor"/>
    </font>
    <font>
      <sz val="12"/>
      <color theme="1"/>
      <name val="Calibri"/>
      <family val="2"/>
      <scheme val="minor"/>
    </font>
    <font>
      <b/>
      <sz val="10"/>
      <name val="Calibri"/>
      <family val="2"/>
      <scheme val="minor"/>
    </font>
    <font>
      <sz val="10"/>
      <name val="Calibri"/>
      <family val="2"/>
      <scheme val="minor"/>
    </font>
    <font>
      <sz val="11"/>
      <name val="Calibri"/>
      <family val="2"/>
      <scheme val="minor"/>
    </font>
    <font>
      <sz val="14"/>
      <color theme="0"/>
      <name val="Calibri"/>
      <family val="2"/>
      <scheme val="minor"/>
    </font>
    <font>
      <sz val="14"/>
      <color theme="1"/>
      <name val="Calibri"/>
      <family val="2"/>
      <scheme val="minor"/>
    </font>
    <font>
      <b/>
      <sz val="10"/>
      <color theme="1"/>
      <name val="Calibri"/>
      <family val="2"/>
      <scheme val="minor"/>
    </font>
    <font>
      <sz val="14"/>
      <name val="Calibri"/>
      <family val="2"/>
      <scheme val="minor"/>
    </font>
    <font>
      <b/>
      <sz val="12"/>
      <color theme="1"/>
      <name val="Calibri"/>
      <family val="2"/>
      <scheme val="minor"/>
    </font>
    <font>
      <b/>
      <sz val="10"/>
      <color rgb="FFC00000"/>
      <name val="Calibri"/>
      <family val="2"/>
      <scheme val="minor"/>
    </font>
    <font>
      <b/>
      <sz val="11"/>
      <color rgb="FFFF0000"/>
      <name val="Calibri"/>
      <family val="2"/>
      <scheme val="minor"/>
    </font>
    <font>
      <sz val="10.5"/>
      <color theme="1"/>
      <name val="Calibri"/>
      <family val="2"/>
      <scheme val="minor"/>
    </font>
    <font>
      <b/>
      <sz val="10.5"/>
      <color theme="1"/>
      <name val="Calibri"/>
      <family val="2"/>
      <scheme val="minor"/>
    </font>
    <font>
      <b/>
      <sz val="10.5"/>
      <color rgb="FFC00000"/>
      <name val="Calibri"/>
      <family val="2"/>
      <scheme val="minor"/>
    </font>
    <font>
      <sz val="10.5"/>
      <color theme="0"/>
      <name val="Calibri"/>
      <family val="2"/>
      <scheme val="minor"/>
    </font>
    <font>
      <b/>
      <sz val="10.5"/>
      <color rgb="FFFF0000"/>
      <name val="Calibri"/>
      <family val="2"/>
      <scheme val="minor"/>
    </font>
    <font>
      <b/>
      <sz val="10.5"/>
      <color theme="0"/>
      <name val="Calibri"/>
      <family val="2"/>
      <scheme val="minor"/>
    </font>
    <font>
      <sz val="10.5"/>
      <name val="Calibri"/>
      <family val="2"/>
      <scheme val="minor"/>
    </font>
    <font>
      <b/>
      <sz val="10.5"/>
      <name val="Calibri"/>
      <family val="2"/>
      <scheme val="minor"/>
    </font>
    <font>
      <b/>
      <sz val="14"/>
      <color theme="1"/>
      <name val="Calibri"/>
      <family val="2"/>
      <scheme val="minor"/>
    </font>
    <font>
      <b/>
      <u/>
      <sz val="12"/>
      <color theme="0"/>
      <name val="Calibri"/>
      <family val="2"/>
      <scheme val="minor"/>
    </font>
    <font>
      <b/>
      <sz val="16"/>
      <color theme="1"/>
      <name val="Calibri"/>
      <family val="2"/>
      <scheme val="minor"/>
    </font>
    <font>
      <b/>
      <sz val="11"/>
      <color indexed="8"/>
      <name val="Calibri"/>
      <family val="2"/>
      <scheme val="minor"/>
    </font>
    <font>
      <sz val="11"/>
      <color indexed="8"/>
      <name val="Calibri"/>
      <family val="2"/>
      <scheme val="minor"/>
    </font>
    <font>
      <sz val="12"/>
      <color theme="3" tint="-0.249977111117893"/>
      <name val="Calibri"/>
      <family val="2"/>
      <scheme val="minor"/>
    </font>
    <font>
      <sz val="11"/>
      <color theme="3" tint="-0.249977111117893"/>
      <name val="Calibri"/>
      <family val="2"/>
      <scheme val="minor"/>
    </font>
    <font>
      <sz val="18"/>
      <color theme="1"/>
      <name val="Calibri"/>
      <family val="2"/>
      <scheme val="minor"/>
    </font>
    <font>
      <b/>
      <u/>
      <sz val="11"/>
      <color theme="0"/>
      <name val="Calibri"/>
      <family val="2"/>
      <scheme val="minor"/>
    </font>
    <font>
      <b/>
      <i/>
      <sz val="10"/>
      <color theme="1"/>
      <name val="Calibri"/>
      <family val="2"/>
      <scheme val="minor"/>
    </font>
    <font>
      <b/>
      <u/>
      <sz val="12"/>
      <color theme="1"/>
      <name val="Calibri"/>
      <family val="2"/>
      <scheme val="minor"/>
    </font>
    <font>
      <b/>
      <sz val="16"/>
      <color theme="0"/>
      <name val="Calibri"/>
      <family val="2"/>
      <scheme val="minor"/>
    </font>
    <font>
      <sz val="16"/>
      <color theme="0"/>
      <name val="Calibri"/>
      <family val="2"/>
      <scheme val="minor"/>
    </font>
    <font>
      <sz val="16"/>
      <color theme="1"/>
      <name val="Calibri"/>
      <family val="2"/>
      <scheme val="minor"/>
    </font>
    <font>
      <b/>
      <u/>
      <sz val="14"/>
      <color theme="0"/>
      <name val="Calibri"/>
      <family val="2"/>
      <scheme val="minor"/>
    </font>
    <font>
      <b/>
      <sz val="11"/>
      <color rgb="FFC00000"/>
      <name val="Calibri"/>
      <family val="2"/>
      <scheme val="minor"/>
    </font>
    <font>
      <b/>
      <u/>
      <sz val="11"/>
      <color theme="1"/>
      <name val="Calibri"/>
      <family val="2"/>
      <scheme val="minor"/>
    </font>
    <font>
      <b/>
      <sz val="12"/>
      <name val="Calibri"/>
      <family val="2"/>
      <scheme val="minor"/>
    </font>
    <font>
      <i/>
      <sz val="11"/>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u/>
      <sz val="11"/>
      <color rgb="FF000000"/>
      <name val="Calibri"/>
      <family val="2"/>
      <scheme val="minor"/>
    </font>
    <font>
      <sz val="8"/>
      <name val="Calibri"/>
      <family val="2"/>
      <scheme val="minor"/>
    </font>
    <font>
      <b/>
      <sz val="9"/>
      <color rgb="FF000000"/>
      <name val="Tahoma"/>
      <family val="2"/>
    </font>
    <font>
      <b/>
      <i/>
      <sz val="10.5"/>
      <color theme="1"/>
      <name val="Calibri"/>
      <family val="2"/>
      <scheme val="minor"/>
    </font>
    <font>
      <sz val="11"/>
      <color rgb="FF000000"/>
      <name val="Calibri (Body)"/>
    </font>
  </fonts>
  <fills count="1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2060"/>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rgb="FFCCFF33"/>
        <bgColor indexed="64"/>
      </patternFill>
    </fill>
    <fill>
      <patternFill patternType="solid">
        <fgColor rgb="FFCCFF66"/>
        <bgColor indexed="64"/>
      </patternFill>
    </fill>
    <fill>
      <patternFill patternType="solid">
        <fgColor rgb="FFB8CCE4"/>
        <bgColor rgb="FF000000"/>
      </patternFill>
    </fill>
    <fill>
      <patternFill patternType="solid">
        <fgColor theme="3" tint="-0.249977111117893"/>
        <bgColor rgb="FF000000"/>
      </patternFill>
    </fill>
  </fills>
  <borders count="134">
    <border>
      <left/>
      <right/>
      <top/>
      <bottom/>
      <diagonal/>
    </border>
    <border>
      <left/>
      <right style="thin">
        <color indexed="64"/>
      </right>
      <top/>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0"/>
      </bottom>
      <diagonal/>
    </border>
    <border>
      <left/>
      <right style="thick">
        <color theme="0"/>
      </right>
      <top/>
      <bottom style="thick">
        <color theme="0"/>
      </bottom>
      <diagonal/>
    </border>
    <border>
      <left style="double">
        <color theme="3" tint="-0.24994659260841701"/>
      </left>
      <right/>
      <top/>
      <bottom style="thick">
        <color theme="0"/>
      </bottom>
      <diagonal/>
    </border>
    <border>
      <left/>
      <right/>
      <top style="thick">
        <color theme="0"/>
      </top>
      <bottom/>
      <diagonal/>
    </border>
    <border>
      <left style="thin">
        <color theme="0"/>
      </left>
      <right style="medium">
        <color indexed="64"/>
      </right>
      <top style="thin">
        <color theme="3" tint="-0.24994659260841701"/>
      </top>
      <bottom style="thin">
        <color theme="3" tint="-0.24994659260841701"/>
      </bottom>
      <diagonal/>
    </border>
    <border>
      <left style="thin">
        <color indexed="64"/>
      </left>
      <right style="thin">
        <color indexed="64"/>
      </right>
      <top style="thick">
        <color theme="0"/>
      </top>
      <bottom style="thin">
        <color theme="3" tint="-0.24994659260841701"/>
      </bottom>
      <diagonal/>
    </border>
    <border>
      <left style="thick">
        <color theme="0"/>
      </left>
      <right style="thin">
        <color indexed="64"/>
      </right>
      <top style="thin">
        <color theme="3" tint="-0.24994659260841701"/>
      </top>
      <bottom style="thin">
        <color theme="3" tint="-0.24994659260841701"/>
      </bottom>
      <diagonal/>
    </border>
    <border>
      <left style="thin">
        <color indexed="64"/>
      </left>
      <right style="thin">
        <color indexed="64"/>
      </right>
      <top style="thin">
        <color theme="3" tint="-0.24994659260841701"/>
      </top>
      <bottom style="thin">
        <color theme="3" tint="-0.24994659260841701"/>
      </bottom>
      <diagonal/>
    </border>
    <border>
      <left style="thick">
        <color theme="0"/>
      </left>
      <right style="thin">
        <color indexed="64"/>
      </right>
      <top style="thin">
        <color theme="3" tint="-0.24994659260841701"/>
      </top>
      <bottom style="medium">
        <color theme="0"/>
      </bottom>
      <diagonal/>
    </border>
    <border>
      <left style="thick">
        <color theme="0"/>
      </left>
      <right style="thin">
        <color indexed="64"/>
      </right>
      <top style="medium">
        <color theme="0"/>
      </top>
      <bottom style="thin">
        <color theme="3" tint="-0.24994659260841701"/>
      </bottom>
      <diagonal/>
    </border>
    <border>
      <left style="thick">
        <color theme="0"/>
      </left>
      <right/>
      <top style="thin">
        <color theme="3" tint="-0.24994659260841701"/>
      </top>
      <bottom style="thick">
        <color theme="0"/>
      </bottom>
      <diagonal/>
    </border>
    <border>
      <left style="thin">
        <color theme="0"/>
      </left>
      <right style="medium">
        <color indexed="64"/>
      </right>
      <top style="thin">
        <color theme="3" tint="-0.24994659260841701"/>
      </top>
      <bottom style="medium">
        <color indexed="64"/>
      </bottom>
      <diagonal/>
    </border>
    <border>
      <left style="thin">
        <color theme="0"/>
      </left>
      <right style="thin">
        <color theme="0"/>
      </right>
      <top style="thin">
        <color theme="3" tint="-0.24994659260841701"/>
      </top>
      <bottom style="thin">
        <color theme="3" tint="-0.24994659260841701"/>
      </bottom>
      <diagonal/>
    </border>
    <border>
      <left style="thin">
        <color theme="0"/>
      </left>
      <right style="thin">
        <color theme="0"/>
      </right>
      <top style="thin">
        <color theme="3" tint="-0.24994659260841701"/>
      </top>
      <bottom style="medium">
        <color indexed="64"/>
      </bottom>
      <diagonal/>
    </border>
    <border>
      <left style="thin">
        <color theme="0"/>
      </left>
      <right/>
      <top style="thin">
        <color theme="3" tint="-0.24994659260841701"/>
      </top>
      <bottom style="thin">
        <color theme="3" tint="-0.24994659260841701"/>
      </bottom>
      <diagonal/>
    </border>
    <border>
      <left style="thin">
        <color theme="0"/>
      </left>
      <right/>
      <top style="thin">
        <color theme="3" tint="-0.24994659260841701"/>
      </top>
      <bottom style="medium">
        <color indexed="64"/>
      </bottom>
      <diagonal/>
    </border>
    <border>
      <left style="medium">
        <color indexed="64"/>
      </left>
      <right style="thin">
        <color theme="0"/>
      </right>
      <top style="thin">
        <color theme="3" tint="-0.24994659260841701"/>
      </top>
      <bottom style="thin">
        <color theme="3" tint="-0.24994659260841701"/>
      </bottom>
      <diagonal/>
    </border>
    <border>
      <left style="medium">
        <color indexed="64"/>
      </left>
      <right style="thin">
        <color theme="0"/>
      </right>
      <top style="thin">
        <color theme="3" tint="-0.24994659260841701"/>
      </top>
      <bottom style="medium">
        <color indexed="64"/>
      </bottom>
      <diagonal/>
    </border>
    <border>
      <left style="medium">
        <color indexed="64"/>
      </left>
      <right/>
      <top style="thin">
        <color theme="3" tint="-0.24994659260841701"/>
      </top>
      <bottom style="thin">
        <color theme="3" tint="-0.24994659260841701"/>
      </bottom>
      <diagonal/>
    </border>
    <border>
      <left style="medium">
        <color indexed="64"/>
      </left>
      <right/>
      <top style="thin">
        <color theme="3" tint="-0.24994659260841701"/>
      </top>
      <bottom style="medium">
        <color indexed="64"/>
      </bottom>
      <diagonal/>
    </border>
    <border>
      <left style="thin">
        <color theme="0"/>
      </left>
      <right/>
      <top/>
      <bottom style="thin">
        <color theme="3" tint="-0.24994659260841701"/>
      </bottom>
      <diagonal/>
    </border>
    <border>
      <left style="medium">
        <color indexed="64"/>
      </left>
      <right style="thin">
        <color theme="0"/>
      </right>
      <top/>
      <bottom style="thin">
        <color theme="3" tint="-0.24994659260841701"/>
      </bottom>
      <diagonal/>
    </border>
    <border>
      <left style="thin">
        <color theme="0"/>
      </left>
      <right style="medium">
        <color indexed="64"/>
      </right>
      <top/>
      <bottom style="thin">
        <color theme="3" tint="-0.24994659260841701"/>
      </bottom>
      <diagonal/>
    </border>
    <border>
      <left style="thin">
        <color indexed="64"/>
      </left>
      <right style="thin">
        <color indexed="64"/>
      </right>
      <top/>
      <bottom style="thin">
        <color theme="3" tint="-0.24994659260841701"/>
      </bottom>
      <diagonal/>
    </border>
    <border>
      <left style="thin">
        <color theme="0"/>
      </left>
      <right style="thin">
        <color theme="0"/>
      </right>
      <top/>
      <bottom style="thin">
        <color theme="3" tint="-0.24994659260841701"/>
      </bottom>
      <diagonal/>
    </border>
    <border>
      <left style="medium">
        <color indexed="64"/>
      </left>
      <right style="thin">
        <color theme="0" tint="-4.9989318521683403E-2"/>
      </right>
      <top style="medium">
        <color indexed="64"/>
      </top>
      <bottom style="thin">
        <color theme="3" tint="-0.24994659260841701"/>
      </bottom>
      <diagonal/>
    </border>
    <border>
      <left style="thin">
        <color theme="0" tint="-4.9989318521683403E-2"/>
      </left>
      <right style="thin">
        <color theme="0" tint="-4.9989318521683403E-2"/>
      </right>
      <top style="medium">
        <color indexed="64"/>
      </top>
      <bottom style="thin">
        <color theme="3" tint="-0.24994659260841701"/>
      </bottom>
      <diagonal/>
    </border>
    <border>
      <left style="thin">
        <color theme="0" tint="-4.9989318521683403E-2"/>
      </left>
      <right style="medium">
        <color indexed="64"/>
      </right>
      <top style="medium">
        <color indexed="64"/>
      </top>
      <bottom style="thin">
        <color theme="3" tint="-0.24994659260841701"/>
      </bottom>
      <diagonal/>
    </border>
    <border>
      <left style="medium">
        <color indexed="64"/>
      </left>
      <right style="thin">
        <color theme="0" tint="-4.9989318521683403E-2"/>
      </right>
      <top style="thin">
        <color theme="3" tint="-0.24994659260841701"/>
      </top>
      <bottom style="thin">
        <color theme="3" tint="-0.24994659260841701"/>
      </bottom>
      <diagonal/>
    </border>
    <border>
      <left style="thin">
        <color theme="0" tint="-4.9989318521683403E-2"/>
      </left>
      <right style="thin">
        <color theme="0" tint="-4.9989318521683403E-2"/>
      </right>
      <top style="thin">
        <color theme="3" tint="-0.24994659260841701"/>
      </top>
      <bottom style="thin">
        <color theme="3" tint="-0.24994659260841701"/>
      </bottom>
      <diagonal/>
    </border>
    <border>
      <left style="thin">
        <color theme="0" tint="-4.9989318521683403E-2"/>
      </left>
      <right style="medium">
        <color indexed="64"/>
      </right>
      <top style="thin">
        <color theme="3" tint="-0.24994659260841701"/>
      </top>
      <bottom style="thin">
        <color theme="3" tint="-0.24994659260841701"/>
      </bottom>
      <diagonal/>
    </border>
    <border>
      <left/>
      <right style="thick">
        <color theme="0"/>
      </right>
      <top/>
      <bottom/>
      <diagonal/>
    </border>
    <border>
      <left style="thick">
        <color theme="0"/>
      </left>
      <right style="thin">
        <color indexed="64"/>
      </right>
      <top style="thick">
        <color theme="0"/>
      </top>
      <bottom style="thick">
        <color theme="0"/>
      </bottom>
      <diagonal/>
    </border>
    <border>
      <left style="thick">
        <color theme="0"/>
      </left>
      <right/>
      <top/>
      <bottom/>
      <diagonal/>
    </border>
    <border>
      <left style="thick">
        <color theme="0"/>
      </left>
      <right/>
      <top/>
      <bottom style="thick">
        <color theme="0"/>
      </bottom>
      <diagonal/>
    </border>
    <border>
      <left style="double">
        <color theme="3" tint="-0.24994659260841701"/>
      </left>
      <right/>
      <top/>
      <bottom/>
      <diagonal/>
    </border>
    <border>
      <left/>
      <right style="thick">
        <color theme="0"/>
      </right>
      <top style="thick">
        <color theme="0"/>
      </top>
      <bottom/>
      <diagonal/>
    </border>
    <border>
      <left/>
      <right/>
      <top style="thick">
        <color theme="0"/>
      </top>
      <bottom style="thick">
        <color theme="0"/>
      </bottom>
      <diagonal/>
    </border>
    <border>
      <left/>
      <right/>
      <top style="medium">
        <color theme="0"/>
      </top>
      <bottom style="medium">
        <color theme="0"/>
      </bottom>
      <diagonal/>
    </border>
    <border>
      <left style="thin">
        <color indexed="64"/>
      </left>
      <right/>
      <top style="medium">
        <color theme="0"/>
      </top>
      <bottom style="medium">
        <color theme="0"/>
      </bottom>
      <diagonal/>
    </border>
    <border>
      <left/>
      <right/>
      <top style="medium">
        <color theme="0"/>
      </top>
      <bottom/>
      <diagonal/>
    </border>
    <border>
      <left style="thin">
        <color indexed="64"/>
      </left>
      <right/>
      <top style="medium">
        <color theme="0"/>
      </top>
      <bottom/>
      <diagonal/>
    </border>
    <border>
      <left style="thin">
        <color indexed="64"/>
      </left>
      <right/>
      <top style="thick">
        <color theme="0"/>
      </top>
      <bottom style="thick">
        <color theme="0"/>
      </bottom>
      <diagonal/>
    </border>
    <border>
      <left/>
      <right style="thin">
        <color indexed="64"/>
      </right>
      <top style="thick">
        <color theme="0"/>
      </top>
      <bottom style="thick">
        <color theme="0"/>
      </bottom>
      <diagonal/>
    </border>
    <border>
      <left style="thin">
        <color indexed="64"/>
      </left>
      <right style="thick">
        <color theme="0"/>
      </right>
      <top/>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medium">
        <color indexed="64"/>
      </top>
      <bottom style="thin">
        <color theme="0"/>
      </bottom>
      <diagonal/>
    </border>
    <border>
      <left style="thin">
        <color theme="0"/>
      </left>
      <right style="thin">
        <color theme="0"/>
      </right>
      <top/>
      <bottom style="medium">
        <color indexed="64"/>
      </bottom>
      <diagonal/>
    </border>
    <border>
      <left style="thin">
        <color theme="0"/>
      </left>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4" tint="0.79998168889431442"/>
      </left>
      <right style="thin">
        <color theme="4" tint="0.79998168889431442"/>
      </right>
      <top style="thin">
        <color theme="0"/>
      </top>
      <bottom style="thin">
        <color theme="4" tint="0.79998168889431442"/>
      </bottom>
      <diagonal/>
    </border>
    <border>
      <left/>
      <right/>
      <top style="thin">
        <color indexed="64"/>
      </top>
      <bottom style="thin">
        <color theme="0"/>
      </bottom>
      <diagonal/>
    </border>
    <border>
      <left style="medium">
        <color rgb="FF0066CC"/>
      </left>
      <right/>
      <top style="medium">
        <color rgb="FF0066CC"/>
      </top>
      <bottom/>
      <diagonal/>
    </border>
    <border>
      <left style="medium">
        <color rgb="FF0066CC"/>
      </left>
      <right/>
      <top/>
      <bottom style="medium">
        <color rgb="FF0066CC"/>
      </bottom>
      <diagonal/>
    </border>
    <border>
      <left style="thick">
        <color theme="0"/>
      </left>
      <right/>
      <top style="thick">
        <color theme="0"/>
      </top>
      <bottom/>
      <diagonal/>
    </border>
    <border>
      <left/>
      <right style="thick">
        <color theme="0"/>
      </right>
      <top style="thick">
        <color theme="0"/>
      </top>
      <bottom style="thick">
        <color theme="0"/>
      </bottom>
      <diagonal/>
    </border>
    <border>
      <left/>
      <right style="thick">
        <color theme="0"/>
      </right>
      <top style="thick">
        <color theme="0"/>
      </top>
      <bottom style="thin">
        <color indexed="64"/>
      </bottom>
      <diagonal/>
    </border>
    <border>
      <left style="thin">
        <color indexed="64"/>
      </left>
      <right style="thin">
        <color indexed="64"/>
      </right>
      <top/>
      <bottom style="thick">
        <color theme="0"/>
      </bottom>
      <diagonal/>
    </border>
    <border>
      <left style="medium">
        <color theme="0"/>
      </left>
      <right/>
      <top style="thick">
        <color theme="0"/>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style="thin">
        <color theme="0"/>
      </left>
      <right style="thin">
        <color theme="0"/>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medium">
        <color indexed="64"/>
      </left>
      <right style="thin">
        <color theme="0"/>
      </right>
      <top style="medium">
        <color indexed="64"/>
      </top>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medium">
        <color indexed="64"/>
      </top>
      <bottom/>
      <diagonal/>
    </border>
    <border>
      <left style="medium">
        <color indexed="64"/>
      </left>
      <right/>
      <top style="medium">
        <color indexed="64"/>
      </top>
      <bottom/>
      <diagonal/>
    </border>
    <border>
      <left style="thin">
        <color theme="0"/>
      </left>
      <right/>
      <top/>
      <bottom/>
      <diagonal/>
    </border>
    <border>
      <left style="thin">
        <color theme="0"/>
      </left>
      <right style="medium">
        <color indexed="64"/>
      </right>
      <top style="thin">
        <color theme="3" tint="-0.24994659260841701"/>
      </top>
      <bottom/>
      <diagonal/>
    </border>
    <border>
      <left style="medium">
        <color indexed="64"/>
      </left>
      <right style="thin">
        <color theme="0"/>
      </right>
      <top style="thin">
        <color theme="3" tint="-0.24994659260841701"/>
      </top>
      <bottom/>
      <diagonal/>
    </border>
    <border>
      <left style="thin">
        <color theme="0"/>
      </left>
      <right style="thin">
        <color theme="0"/>
      </right>
      <top style="thin">
        <color theme="3" tint="-0.24994659260841701"/>
      </top>
      <bottom/>
      <diagonal/>
    </border>
    <border>
      <left/>
      <right style="thin">
        <color theme="0"/>
      </right>
      <top style="medium">
        <color indexed="64"/>
      </top>
      <bottom style="thin">
        <color theme="0"/>
      </bottom>
      <diagonal/>
    </border>
    <border>
      <left/>
      <right style="thin">
        <color theme="0"/>
      </right>
      <top style="thin">
        <color theme="0"/>
      </top>
      <bottom/>
      <diagonal/>
    </border>
    <border>
      <left/>
      <right style="thin">
        <color theme="0"/>
      </right>
      <top style="thin">
        <color theme="0"/>
      </top>
      <bottom style="medium">
        <color indexed="64"/>
      </bottom>
      <diagonal/>
    </border>
    <border>
      <left style="medium">
        <color auto="1"/>
      </left>
      <right style="medium">
        <color theme="4" tint="0.79998168889431442"/>
      </right>
      <top style="medium">
        <color auto="1"/>
      </top>
      <bottom style="medium">
        <color theme="4" tint="0.79998168889431442"/>
      </bottom>
      <diagonal/>
    </border>
    <border>
      <left style="medium">
        <color auto="1"/>
      </left>
      <right style="medium">
        <color theme="4" tint="0.79998168889431442"/>
      </right>
      <top style="medium">
        <color theme="4" tint="0.79998168889431442"/>
      </top>
      <bottom style="medium">
        <color theme="4" tint="0.79998168889431442"/>
      </bottom>
      <diagonal/>
    </border>
    <border>
      <left style="medium">
        <color auto="1"/>
      </left>
      <right style="medium">
        <color theme="4" tint="0.79998168889431442"/>
      </right>
      <top style="medium">
        <color theme="4" tint="0.79998168889431442"/>
      </top>
      <bottom style="medium">
        <color auto="1"/>
      </bottom>
      <diagonal/>
    </border>
    <border>
      <left/>
      <right style="thin">
        <color theme="0"/>
      </right>
      <top/>
      <bottom/>
      <diagonal/>
    </border>
    <border>
      <left style="thin">
        <color theme="0"/>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2" fillId="0" borderId="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cellStyleXfs>
  <cellXfs count="498">
    <xf numFmtId="0" fontId="0" fillId="0" borderId="0" xfId="0"/>
    <xf numFmtId="0" fontId="6" fillId="0" borderId="0" xfId="0" applyFont="1" applyAlignment="1">
      <alignment vertical="center"/>
    </xf>
    <xf numFmtId="0" fontId="7" fillId="0" borderId="0" xfId="0" applyFont="1" applyAlignment="1">
      <alignment vertical="center"/>
    </xf>
    <xf numFmtId="0" fontId="6" fillId="0" borderId="9" xfId="0" applyFont="1" applyBorder="1" applyAlignment="1">
      <alignment vertical="center"/>
    </xf>
    <xf numFmtId="0" fontId="6" fillId="0" borderId="0" xfId="0" applyFont="1" applyAlignment="1">
      <alignment horizontal="center" vertical="center" wrapText="1"/>
    </xf>
    <xf numFmtId="0" fontId="9" fillId="8" borderId="76" xfId="0" applyFont="1" applyFill="1" applyBorder="1" applyAlignment="1">
      <alignment horizontal="center" vertical="center" wrapText="1"/>
    </xf>
    <xf numFmtId="0" fontId="9" fillId="8" borderId="77" xfId="0" applyFont="1" applyFill="1" applyBorder="1" applyAlignment="1">
      <alignment horizontal="center" vertical="center" wrapText="1"/>
    </xf>
    <xf numFmtId="0" fontId="9" fillId="8" borderId="70" xfId="0" applyFont="1" applyFill="1" applyBorder="1" applyAlignment="1">
      <alignment horizontal="center" vertical="center" wrapText="1"/>
    </xf>
    <xf numFmtId="0" fontId="9" fillId="8" borderId="71" xfId="0" applyFont="1" applyFill="1" applyBorder="1" applyAlignment="1">
      <alignment horizontal="center" vertical="center" wrapText="1"/>
    </xf>
    <xf numFmtId="0" fontId="10" fillId="5" borderId="45" xfId="0" applyFont="1" applyFill="1" applyBorder="1" applyAlignment="1">
      <alignment horizontal="left" vertical="center" wrapText="1"/>
    </xf>
    <xf numFmtId="166" fontId="9" fillId="8" borderId="78" xfId="0" applyNumberFormat="1" applyFont="1" applyFill="1" applyBorder="1" applyAlignment="1">
      <alignment horizontal="left" vertical="center" wrapText="1"/>
    </xf>
    <xf numFmtId="166" fontId="9" fillId="8" borderId="79" xfId="0" applyNumberFormat="1" applyFont="1" applyFill="1" applyBorder="1" applyAlignment="1">
      <alignment horizontal="left" vertical="center" wrapText="1"/>
    </xf>
    <xf numFmtId="166" fontId="9" fillId="8" borderId="80" xfId="0" applyNumberFormat="1" applyFont="1" applyFill="1" applyBorder="1" applyAlignment="1">
      <alignment horizontal="left" vertical="center" wrapText="1"/>
    </xf>
    <xf numFmtId="166" fontId="11" fillId="5" borderId="46" xfId="0" applyNumberFormat="1" applyFont="1" applyFill="1" applyBorder="1" applyAlignment="1">
      <alignment vertical="center" wrapText="1"/>
    </xf>
    <xf numFmtId="166" fontId="11" fillId="5" borderId="49" xfId="0" applyNumberFormat="1" applyFont="1" applyFill="1" applyBorder="1" applyAlignment="1" applyProtection="1">
      <alignment horizontal="center" vertical="center" wrapText="1"/>
      <protection locked="0"/>
    </xf>
    <xf numFmtId="166" fontId="10" fillId="5" borderId="47" xfId="0" applyNumberFormat="1" applyFont="1" applyFill="1" applyBorder="1" applyAlignment="1">
      <alignment horizontal="center" vertical="center" wrapText="1"/>
    </xf>
    <xf numFmtId="166" fontId="11" fillId="5" borderId="45" xfId="0" applyNumberFormat="1" applyFont="1" applyFill="1" applyBorder="1" applyAlignment="1" applyProtection="1">
      <alignment horizontal="center" vertical="center" wrapText="1"/>
      <protection locked="0"/>
    </xf>
    <xf numFmtId="166" fontId="11" fillId="5" borderId="47" xfId="0" applyNumberFormat="1" applyFont="1" applyFill="1" applyBorder="1" applyAlignment="1">
      <alignment horizontal="center" vertical="center" wrapText="1"/>
    </xf>
    <xf numFmtId="166" fontId="11" fillId="1" borderId="50" xfId="0" applyNumberFormat="1" applyFont="1" applyFill="1" applyBorder="1" applyAlignment="1">
      <alignment horizontal="center" vertical="center" wrapText="1"/>
    </xf>
    <xf numFmtId="166" fontId="11" fillId="1" borderId="51" xfId="0" applyNumberFormat="1" applyFont="1" applyFill="1" applyBorder="1" applyAlignment="1">
      <alignment horizontal="center" vertical="center" wrapText="1"/>
    </xf>
    <xf numFmtId="166" fontId="11" fillId="1" borderId="52" xfId="0" applyNumberFormat="1" applyFont="1" applyFill="1" applyBorder="1" applyAlignment="1">
      <alignment horizontal="center" vertical="center" wrapText="1"/>
    </xf>
    <xf numFmtId="166" fontId="7" fillId="0" borderId="0" xfId="0" applyNumberFormat="1" applyFont="1" applyAlignment="1">
      <alignment vertical="center"/>
    </xf>
    <xf numFmtId="0" fontId="10" fillId="5" borderId="39" xfId="0" applyFont="1" applyFill="1" applyBorder="1" applyAlignment="1">
      <alignment horizontal="left" vertical="center" wrapText="1"/>
    </xf>
    <xf numFmtId="166" fontId="9" fillId="8" borderId="81" xfId="0" applyNumberFormat="1" applyFont="1" applyFill="1" applyBorder="1" applyAlignment="1">
      <alignment horizontal="left" vertical="center" wrapText="1"/>
    </xf>
    <xf numFmtId="166" fontId="9" fillId="8" borderId="72" xfId="0" applyNumberFormat="1" applyFont="1" applyFill="1" applyBorder="1" applyAlignment="1">
      <alignment horizontal="left" vertical="center" wrapText="1"/>
    </xf>
    <xf numFmtId="166" fontId="9" fillId="8" borderId="73" xfId="0" applyNumberFormat="1" applyFont="1" applyFill="1" applyBorder="1" applyAlignment="1">
      <alignment horizontal="left" vertical="center" wrapText="1"/>
    </xf>
    <xf numFmtId="166" fontId="11" fillId="5" borderId="41" xfId="0" applyNumberFormat="1" applyFont="1" applyFill="1" applyBorder="1" applyAlignment="1">
      <alignment vertical="center" wrapText="1"/>
    </xf>
    <xf numFmtId="166" fontId="11" fillId="5" borderId="37" xfId="0" applyNumberFormat="1" applyFont="1" applyFill="1" applyBorder="1" applyAlignment="1" applyProtection="1">
      <alignment horizontal="center" vertical="center" wrapText="1"/>
      <protection locked="0"/>
    </xf>
    <xf numFmtId="166" fontId="10" fillId="5" borderId="29" xfId="0" applyNumberFormat="1" applyFont="1" applyFill="1" applyBorder="1" applyAlignment="1">
      <alignment horizontal="center" vertical="center" wrapText="1"/>
    </xf>
    <xf numFmtId="166" fontId="11" fillId="5" borderId="39" xfId="0" applyNumberFormat="1" applyFont="1" applyFill="1" applyBorder="1" applyAlignment="1" applyProtection="1">
      <alignment horizontal="center" vertical="center" wrapText="1"/>
      <protection locked="0"/>
    </xf>
    <xf numFmtId="166" fontId="11" fillId="5" borderId="29" xfId="0" applyNumberFormat="1" applyFont="1" applyFill="1" applyBorder="1" applyAlignment="1">
      <alignment horizontal="center" vertical="center" wrapText="1"/>
    </xf>
    <xf numFmtId="166" fontId="11" fillId="1" borderId="53" xfId="0" applyNumberFormat="1" applyFont="1" applyFill="1" applyBorder="1" applyAlignment="1">
      <alignment horizontal="center" vertical="center" wrapText="1"/>
    </xf>
    <xf numFmtId="166" fontId="11" fillId="1" borderId="54" xfId="0" applyNumberFormat="1" applyFont="1" applyFill="1" applyBorder="1" applyAlignment="1">
      <alignment horizontal="center" vertical="center" wrapText="1"/>
    </xf>
    <xf numFmtId="166" fontId="11" fillId="1" borderId="55" xfId="0" applyNumberFormat="1" applyFont="1" applyFill="1" applyBorder="1" applyAlignment="1">
      <alignment horizontal="center" vertical="center" wrapText="1"/>
    </xf>
    <xf numFmtId="166" fontId="9" fillId="8" borderId="81" xfId="0" applyNumberFormat="1" applyFont="1" applyFill="1" applyBorder="1" applyAlignment="1">
      <alignment vertical="center" wrapText="1"/>
    </xf>
    <xf numFmtId="166" fontId="9" fillId="8" borderId="72" xfId="0" applyNumberFormat="1" applyFont="1" applyFill="1" applyBorder="1" applyAlignment="1">
      <alignment vertical="center" wrapText="1"/>
    </xf>
    <xf numFmtId="166" fontId="9" fillId="8" borderId="73" xfId="0" applyNumberFormat="1" applyFont="1" applyFill="1" applyBorder="1" applyAlignment="1">
      <alignment vertical="center" wrapText="1"/>
    </xf>
    <xf numFmtId="166" fontId="11" fillId="5" borderId="37" xfId="0" applyNumberFormat="1" applyFont="1" applyFill="1" applyBorder="1" applyAlignment="1" applyProtection="1">
      <alignment vertical="center" wrapText="1"/>
      <protection locked="0"/>
    </xf>
    <xf numFmtId="166" fontId="10" fillId="5" borderId="29" xfId="0" applyNumberFormat="1" applyFont="1" applyFill="1" applyBorder="1" applyAlignment="1">
      <alignment vertical="center" wrapText="1"/>
    </xf>
    <xf numFmtId="166" fontId="11" fillId="5" borderId="41" xfId="5" applyNumberFormat="1" applyFont="1" applyFill="1" applyBorder="1" applyAlignment="1" applyProtection="1">
      <alignment horizontal="center" vertical="center" wrapText="1"/>
    </xf>
    <xf numFmtId="166" fontId="11" fillId="5" borderId="39" xfId="5" applyNumberFormat="1" applyFont="1" applyFill="1" applyBorder="1" applyAlignment="1" applyProtection="1">
      <alignment horizontal="center" vertical="center" wrapText="1"/>
      <protection locked="0"/>
    </xf>
    <xf numFmtId="166" fontId="11" fillId="5" borderId="29" xfId="5" applyNumberFormat="1" applyFont="1" applyFill="1" applyBorder="1" applyAlignment="1" applyProtection="1">
      <alignment horizontal="center" vertical="center" wrapText="1"/>
    </xf>
    <xf numFmtId="9" fontId="7" fillId="0" borderId="0" xfId="8" applyFont="1" applyFill="1" applyAlignment="1" applyProtection="1">
      <alignment vertical="center"/>
    </xf>
    <xf numFmtId="166" fontId="11" fillId="5" borderId="43" xfId="5" applyNumberFormat="1" applyFont="1" applyFill="1" applyBorder="1" applyAlignment="1" applyProtection="1">
      <alignment horizontal="center" vertical="center" wrapText="1"/>
    </xf>
    <xf numFmtId="166" fontId="9" fillId="8" borderId="81" xfId="0" applyNumberFormat="1" applyFont="1" applyFill="1" applyBorder="1" applyAlignment="1">
      <alignment horizontal="center" vertical="center" wrapText="1"/>
    </xf>
    <xf numFmtId="166" fontId="9" fillId="8" borderId="73" xfId="0" applyNumberFormat="1" applyFont="1" applyFill="1" applyBorder="1" applyAlignment="1">
      <alignment horizontal="center" vertical="center" wrapText="1"/>
    </xf>
    <xf numFmtId="166" fontId="9" fillId="8" borderId="81" xfId="5" applyNumberFormat="1" applyFont="1" applyFill="1" applyBorder="1" applyAlignment="1" applyProtection="1">
      <alignment horizontal="left" vertical="center" wrapText="1"/>
    </xf>
    <xf numFmtId="166" fontId="9" fillId="8" borderId="72" xfId="5" applyNumberFormat="1" applyFont="1" applyFill="1" applyBorder="1" applyAlignment="1" applyProtection="1">
      <alignment horizontal="left" vertical="center" wrapText="1"/>
    </xf>
    <xf numFmtId="166" fontId="9" fillId="8" borderId="73" xfId="5" applyNumberFormat="1" applyFont="1" applyFill="1" applyBorder="1" applyAlignment="1" applyProtection="1">
      <alignment horizontal="left" vertical="center" wrapText="1"/>
    </xf>
    <xf numFmtId="166" fontId="11" fillId="1" borderId="41" xfId="0" applyNumberFormat="1" applyFont="1" applyFill="1" applyBorder="1" applyAlignment="1">
      <alignment horizontal="center" vertical="center" wrapText="1"/>
    </xf>
    <xf numFmtId="166" fontId="11" fillId="1" borderId="37" xfId="0" applyNumberFormat="1" applyFont="1" applyFill="1" applyBorder="1" applyAlignment="1">
      <alignment horizontal="center" vertical="center" wrapText="1"/>
    </xf>
    <xf numFmtId="166" fontId="11" fillId="1" borderId="29" xfId="0" applyNumberFormat="1" applyFont="1" applyFill="1" applyBorder="1" applyAlignment="1">
      <alignment horizontal="center" vertical="center" wrapText="1"/>
    </xf>
    <xf numFmtId="166" fontId="9" fillId="8" borderId="82" xfId="5" applyNumberFormat="1" applyFont="1" applyFill="1" applyBorder="1" applyAlignment="1" applyProtection="1">
      <alignment horizontal="left" vertical="center" wrapText="1"/>
    </xf>
    <xf numFmtId="166" fontId="9" fillId="8" borderId="83" xfId="5" applyNumberFormat="1" applyFont="1" applyFill="1" applyBorder="1" applyAlignment="1" applyProtection="1">
      <alignment horizontal="left" vertical="center" wrapText="1"/>
    </xf>
    <xf numFmtId="166" fontId="9" fillId="8" borderId="84" xfId="5" applyNumberFormat="1" applyFont="1" applyFill="1" applyBorder="1" applyAlignment="1" applyProtection="1">
      <alignment horizontal="left" vertical="center" wrapText="1"/>
    </xf>
    <xf numFmtId="166" fontId="11" fillId="1" borderId="110" xfId="0" applyNumberFormat="1" applyFont="1" applyFill="1" applyBorder="1" applyAlignment="1">
      <alignment horizontal="center" vertical="center" wrapText="1"/>
    </xf>
    <xf numFmtId="166" fontId="11" fillId="1" borderId="111" xfId="0" applyNumberFormat="1" applyFont="1" applyFill="1" applyBorder="1" applyAlignment="1">
      <alignment horizontal="center" vertical="center" wrapText="1"/>
    </xf>
    <xf numFmtId="166" fontId="11" fillId="1" borderId="109" xfId="0" applyNumberFormat="1" applyFont="1" applyFill="1" applyBorder="1" applyAlignment="1">
      <alignment horizontal="center" vertical="center" wrapText="1"/>
    </xf>
    <xf numFmtId="0" fontId="10" fillId="5" borderId="40" xfId="0" applyFont="1" applyFill="1" applyBorder="1" applyAlignment="1">
      <alignment horizontal="left" vertical="center" wrapText="1"/>
    </xf>
    <xf numFmtId="166" fontId="11" fillId="1" borderId="42" xfId="0" applyNumberFormat="1" applyFont="1" applyFill="1" applyBorder="1" applyAlignment="1">
      <alignment horizontal="center" vertical="center" wrapText="1"/>
    </xf>
    <xf numFmtId="166" fontId="11" fillId="1" borderId="38" xfId="0" applyNumberFormat="1" applyFont="1" applyFill="1" applyBorder="1" applyAlignment="1">
      <alignment horizontal="center" vertical="center" wrapText="1"/>
    </xf>
    <xf numFmtId="166" fontId="11" fillId="1" borderId="36" xfId="0" applyNumberFormat="1" applyFont="1" applyFill="1" applyBorder="1" applyAlignment="1">
      <alignment horizontal="center" vertical="center" wrapText="1"/>
    </xf>
    <xf numFmtId="166" fontId="11" fillId="5" borderId="42" xfId="5" applyNumberFormat="1" applyFont="1" applyFill="1" applyBorder="1" applyAlignment="1" applyProtection="1">
      <alignment horizontal="center" vertical="center" wrapText="1"/>
    </xf>
    <xf numFmtId="166" fontId="11" fillId="5" borderId="40" xfId="5" applyNumberFormat="1" applyFont="1" applyFill="1" applyBorder="1" applyAlignment="1" applyProtection="1">
      <alignment horizontal="center" vertical="center" wrapText="1"/>
      <protection locked="0"/>
    </xf>
    <xf numFmtId="166" fontId="11" fillId="5" borderId="36" xfId="5" applyNumberFormat="1" applyFont="1" applyFill="1" applyBorder="1" applyAlignment="1" applyProtection="1">
      <alignment horizontal="center" vertical="center" wrapText="1"/>
    </xf>
    <xf numFmtId="166" fontId="11" fillId="5" borderId="44" xfId="5" applyNumberFormat="1" applyFont="1" applyFill="1" applyBorder="1" applyAlignment="1" applyProtection="1">
      <alignment horizontal="center" vertical="center" wrapText="1"/>
    </xf>
    <xf numFmtId="0" fontId="9" fillId="8" borderId="15" xfId="0" applyFont="1" applyFill="1" applyBorder="1" applyAlignment="1">
      <alignment horizontal="center" vertical="center"/>
    </xf>
    <xf numFmtId="166" fontId="9" fillId="8" borderId="77" xfId="0" applyNumberFormat="1" applyFont="1" applyFill="1" applyBorder="1" applyAlignment="1">
      <alignment horizontal="center" vertical="center" wrapText="1"/>
    </xf>
    <xf numFmtId="166" fontId="9" fillId="8" borderId="70" xfId="0" applyNumberFormat="1" applyFont="1" applyFill="1" applyBorder="1" applyAlignment="1">
      <alignment horizontal="center" vertical="center" wrapText="1"/>
    </xf>
    <xf numFmtId="166" fontId="9" fillId="8" borderId="71" xfId="0" applyNumberFormat="1" applyFont="1" applyFill="1" applyBorder="1" applyAlignment="1">
      <alignment horizontal="center" vertical="center" wrapText="1"/>
    </xf>
    <xf numFmtId="166" fontId="9" fillId="8" borderId="76" xfId="0" applyNumberFormat="1" applyFont="1" applyFill="1" applyBorder="1" applyAlignment="1">
      <alignment horizontal="center" vertical="center" wrapText="1"/>
    </xf>
    <xf numFmtId="166" fontId="9" fillId="8" borderId="15"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9" fontId="6" fillId="0" borderId="0" xfId="8" applyFont="1" applyFill="1" applyAlignment="1" applyProtection="1">
      <alignment horizontal="center" vertical="center" wrapText="1"/>
    </xf>
    <xf numFmtId="0" fontId="9" fillId="7" borderId="0" xfId="0" applyFont="1" applyFill="1" applyAlignment="1">
      <alignment horizontal="center" vertical="center"/>
    </xf>
    <xf numFmtId="0" fontId="9" fillId="7" borderId="4" xfId="0" applyFont="1" applyFill="1" applyBorder="1" applyAlignment="1">
      <alignment vertical="center"/>
    </xf>
    <xf numFmtId="166" fontId="9" fillId="7" borderId="4" xfId="0" applyNumberFormat="1" applyFont="1" applyFill="1" applyBorder="1" applyAlignment="1">
      <alignment vertical="center"/>
    </xf>
    <xf numFmtId="166" fontId="12" fillId="5" borderId="4" xfId="0" applyNumberFormat="1" applyFont="1" applyFill="1" applyBorder="1" applyAlignment="1">
      <alignment vertical="center"/>
    </xf>
    <xf numFmtId="9" fontId="12" fillId="5" borderId="4" xfId="8" applyFont="1" applyFill="1" applyBorder="1" applyAlignment="1">
      <alignment vertical="center"/>
    </xf>
    <xf numFmtId="0" fontId="12" fillId="0" borderId="0" xfId="0" applyFont="1" applyAlignment="1">
      <alignment vertical="center"/>
    </xf>
    <xf numFmtId="0" fontId="9" fillId="7" borderId="8" xfId="0" applyFont="1" applyFill="1" applyBorder="1" applyAlignment="1">
      <alignment vertical="center"/>
    </xf>
    <xf numFmtId="166" fontId="9" fillId="7" borderId="7" xfId="0" applyNumberFormat="1" applyFont="1" applyFill="1" applyBorder="1" applyAlignment="1">
      <alignment vertical="center"/>
    </xf>
    <xf numFmtId="0" fontId="0" fillId="0" borderId="0" xfId="0" applyAlignment="1">
      <alignment vertical="center"/>
    </xf>
    <xf numFmtId="0" fontId="17" fillId="0" borderId="0" xfId="0" applyFont="1" applyAlignment="1">
      <alignment vertical="center"/>
    </xf>
    <xf numFmtId="0" fontId="19" fillId="0" borderId="0" xfId="0" applyFont="1" applyAlignment="1">
      <alignment vertical="center"/>
    </xf>
    <xf numFmtId="0" fontId="9" fillId="8" borderId="70" xfId="0" applyFont="1" applyFill="1" applyBorder="1" applyAlignment="1" applyProtection="1">
      <alignment horizontal="center" vertical="center" wrapText="1"/>
      <protection locked="0"/>
    </xf>
    <xf numFmtId="166" fontId="9" fillId="8" borderId="72" xfId="0" applyNumberFormat="1" applyFont="1" applyFill="1" applyBorder="1" applyAlignment="1">
      <alignment horizontal="center" vertical="center" wrapText="1"/>
    </xf>
    <xf numFmtId="166" fontId="11" fillId="1" borderId="41" xfId="0" applyNumberFormat="1" applyFont="1" applyFill="1" applyBorder="1" applyAlignment="1">
      <alignment vertical="center" wrapText="1"/>
    </xf>
    <xf numFmtId="166" fontId="11" fillId="1" borderId="37" xfId="0" applyNumberFormat="1" applyFont="1" applyFill="1" applyBorder="1" applyAlignment="1" applyProtection="1">
      <alignment vertical="center" wrapText="1"/>
      <protection locked="0"/>
    </xf>
    <xf numFmtId="166" fontId="10" fillId="1" borderId="29" xfId="0" applyNumberFormat="1" applyFont="1" applyFill="1" applyBorder="1" applyAlignment="1">
      <alignment vertical="center" wrapText="1"/>
    </xf>
    <xf numFmtId="0" fontId="9" fillId="7" borderId="4" xfId="0" applyFont="1" applyFill="1" applyBorder="1" applyAlignment="1">
      <alignment horizontal="center" vertical="center" wrapText="1"/>
    </xf>
    <xf numFmtId="0" fontId="12"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center" vertical="center"/>
    </xf>
    <xf numFmtId="0" fontId="15" fillId="0" borderId="9" xfId="0" applyFont="1" applyBorder="1" applyAlignment="1">
      <alignment vertical="center"/>
    </xf>
    <xf numFmtId="0" fontId="16" fillId="8" borderId="115" xfId="0" applyFont="1" applyFill="1" applyBorder="1" applyAlignment="1">
      <alignment horizontal="center" vertical="center"/>
    </xf>
    <xf numFmtId="0" fontId="16" fillId="8" borderId="74" xfId="0" applyFont="1" applyFill="1" applyBorder="1" applyAlignment="1">
      <alignment horizontal="center" vertical="center" wrapText="1"/>
    </xf>
    <xf numFmtId="0" fontId="16" fillId="8" borderId="72" xfId="0" applyFont="1" applyFill="1" applyBorder="1" applyAlignment="1">
      <alignment horizontal="center" vertical="center" wrapText="1"/>
    </xf>
    <xf numFmtId="0" fontId="16" fillId="8" borderId="73" xfId="0" applyFont="1" applyFill="1" applyBorder="1" applyAlignment="1">
      <alignment horizontal="center" vertical="center" wrapText="1"/>
    </xf>
    <xf numFmtId="166" fontId="16" fillId="8" borderId="85" xfId="0" applyNumberFormat="1" applyFont="1" applyFill="1" applyBorder="1" applyAlignment="1">
      <alignment vertical="center" wrapText="1"/>
    </xf>
    <xf numFmtId="0" fontId="14" fillId="0" borderId="0" xfId="0" applyFont="1" applyAlignment="1">
      <alignment vertical="center"/>
    </xf>
    <xf numFmtId="0" fontId="16" fillId="8" borderId="77" xfId="0" applyFont="1" applyFill="1" applyBorder="1" applyAlignment="1">
      <alignment horizontal="center" vertical="center"/>
    </xf>
    <xf numFmtId="166" fontId="16" fillId="8" borderId="70" xfId="0" applyNumberFormat="1" applyFont="1" applyFill="1" applyBorder="1" applyAlignment="1">
      <alignment horizontal="center" vertical="center" wrapText="1"/>
    </xf>
    <xf numFmtId="166" fontId="16" fillId="8" borderId="71"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9" fontId="15" fillId="0" borderId="0" xfId="8" applyFont="1" applyFill="1" applyAlignment="1" applyProtection="1">
      <alignment horizontal="center" vertical="center" wrapText="1"/>
    </xf>
    <xf numFmtId="0" fontId="16" fillId="0" borderId="0" xfId="0" applyFont="1" applyAlignment="1">
      <alignment horizontal="center" vertical="center"/>
    </xf>
    <xf numFmtId="166" fontId="22" fillId="1" borderId="47" xfId="0" applyNumberFormat="1" applyFont="1" applyFill="1" applyBorder="1" applyAlignment="1">
      <alignment horizontal="center" vertical="center" wrapText="1"/>
    </xf>
    <xf numFmtId="166" fontId="22" fillId="1" borderId="29" xfId="0" applyNumberFormat="1" applyFont="1" applyFill="1" applyBorder="1" applyAlignment="1">
      <alignment horizontal="center" vertical="center" wrapText="1"/>
    </xf>
    <xf numFmtId="0" fontId="18" fillId="8" borderId="0" xfId="0" applyFont="1" applyFill="1" applyAlignment="1">
      <alignment horizontal="center" vertical="center"/>
    </xf>
    <xf numFmtId="0" fontId="23" fillId="0" borderId="0" xfId="0" applyFont="1" applyAlignment="1">
      <alignment vertical="center"/>
    </xf>
    <xf numFmtId="0" fontId="8" fillId="8" borderId="0" xfId="0" applyFont="1" applyFill="1" applyAlignment="1">
      <alignment horizontal="center" vertical="center"/>
    </xf>
    <xf numFmtId="0" fontId="24" fillId="0" borderId="0" xfId="0" applyFont="1" applyAlignment="1">
      <alignment vertical="center"/>
    </xf>
    <xf numFmtId="0" fontId="19" fillId="8" borderId="0" xfId="0" applyFont="1" applyFill="1" applyAlignment="1">
      <alignment vertical="center"/>
    </xf>
    <xf numFmtId="0" fontId="14" fillId="0" borderId="0" xfId="0" applyFont="1" applyAlignment="1">
      <alignment horizontal="justify" vertical="center" wrapText="1"/>
    </xf>
    <xf numFmtId="0" fontId="14" fillId="8" borderId="0" xfId="0" applyFont="1" applyFill="1" applyAlignment="1">
      <alignment vertical="center"/>
    </xf>
    <xf numFmtId="0" fontId="0" fillId="8" borderId="0" xfId="0" applyFill="1" applyAlignment="1">
      <alignment vertical="center"/>
    </xf>
    <xf numFmtId="0" fontId="0" fillId="0" borderId="0" xfId="0" applyAlignment="1">
      <alignment horizontal="left" vertical="center"/>
    </xf>
    <xf numFmtId="0" fontId="2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4" fillId="8" borderId="0" xfId="0" applyFont="1" applyFill="1" applyAlignment="1">
      <alignment vertical="center"/>
    </xf>
    <xf numFmtId="0" fontId="26" fillId="8" borderId="0" xfId="0" applyFont="1" applyFill="1" applyAlignment="1">
      <alignment vertical="center" wrapText="1"/>
    </xf>
    <xf numFmtId="0" fontId="26" fillId="0" borderId="0" xfId="0" applyFont="1" applyAlignment="1">
      <alignment vertical="center" wrapText="1"/>
    </xf>
    <xf numFmtId="0" fontId="24" fillId="0" borderId="0" xfId="0" applyFont="1" applyAlignment="1">
      <alignment horizontal="justify" vertical="center" wrapText="1"/>
    </xf>
    <xf numFmtId="0" fontId="0" fillId="2" borderId="0" xfId="0" applyFill="1" applyAlignment="1">
      <alignment vertical="center"/>
    </xf>
    <xf numFmtId="0" fontId="0" fillId="8" borderId="67" xfId="0" applyFill="1" applyBorder="1" applyAlignment="1">
      <alignment vertical="center"/>
    </xf>
    <xf numFmtId="0" fontId="0" fillId="8" borderId="62" xfId="0" applyFill="1" applyBorder="1" applyAlignment="1">
      <alignment vertical="center"/>
    </xf>
    <xf numFmtId="0" fontId="0" fillId="8" borderId="68" xfId="0" applyFill="1" applyBorder="1" applyAlignment="1">
      <alignment vertical="center"/>
    </xf>
    <xf numFmtId="0" fontId="0" fillId="0" borderId="28" xfId="0" applyBorder="1" applyAlignment="1">
      <alignment vertical="center"/>
    </xf>
    <xf numFmtId="0" fontId="0" fillId="2" borderId="2" xfId="0" applyFill="1" applyBorder="1" applyAlignment="1">
      <alignment vertical="center"/>
    </xf>
    <xf numFmtId="0" fontId="0" fillId="0" borderId="1" xfId="0" applyBorder="1" applyAlignment="1">
      <alignment vertical="center"/>
    </xf>
    <xf numFmtId="0" fontId="29" fillId="2" borderId="0" xfId="0" applyFont="1" applyFill="1" applyAlignment="1">
      <alignment vertical="center"/>
    </xf>
    <xf numFmtId="0" fontId="24" fillId="2" borderId="0" xfId="0" applyFont="1" applyFill="1" applyAlignment="1">
      <alignment vertical="center"/>
    </xf>
    <xf numFmtId="0" fontId="8" fillId="8" borderId="13" xfId="0" applyFont="1" applyFill="1" applyBorder="1" applyAlignment="1">
      <alignment vertical="center" wrapText="1"/>
    </xf>
    <xf numFmtId="0" fontId="30" fillId="0" borderId="0" xfId="0" applyFont="1" applyAlignment="1">
      <alignment vertical="center"/>
    </xf>
    <xf numFmtId="164" fontId="30" fillId="0" borderId="0" xfId="6" applyFont="1" applyAlignment="1">
      <alignment vertical="center"/>
    </xf>
    <xf numFmtId="164" fontId="32" fillId="0" borderId="0" xfId="6" applyFont="1" applyAlignment="1">
      <alignment vertical="center"/>
    </xf>
    <xf numFmtId="164" fontId="33" fillId="0" borderId="0" xfId="6" applyFont="1" applyBorder="1" applyAlignment="1">
      <alignment vertical="center"/>
    </xf>
    <xf numFmtId="164" fontId="30" fillId="0" borderId="0" xfId="6" applyFont="1" applyAlignment="1">
      <alignment horizontal="right" vertical="center"/>
    </xf>
    <xf numFmtId="164" fontId="33" fillId="0" borderId="0" xfId="6" applyFont="1" applyAlignment="1">
      <alignment vertical="center"/>
    </xf>
    <xf numFmtId="164" fontId="30" fillId="0" borderId="0" xfId="6" applyFont="1" applyBorder="1" applyAlignment="1">
      <alignment vertical="center"/>
    </xf>
    <xf numFmtId="10" fontId="30" fillId="0" borderId="0" xfId="8" applyNumberFormat="1" applyFont="1" applyBorder="1" applyAlignment="1">
      <alignment vertical="center"/>
    </xf>
    <xf numFmtId="0" fontId="30" fillId="2" borderId="0" xfId="0" applyFont="1" applyFill="1" applyAlignment="1">
      <alignment vertical="center"/>
    </xf>
    <xf numFmtId="0" fontId="30" fillId="8" borderId="2" xfId="0" applyFont="1" applyFill="1" applyBorder="1" applyAlignment="1">
      <alignment vertical="center"/>
    </xf>
    <xf numFmtId="0" fontId="34" fillId="8" borderId="56" xfId="0" applyFont="1" applyFill="1" applyBorder="1" applyAlignment="1">
      <alignment vertical="center"/>
    </xf>
    <xf numFmtId="0" fontId="30" fillId="8" borderId="58" xfId="0" applyFont="1" applyFill="1" applyBorder="1" applyAlignment="1">
      <alignment vertical="center"/>
    </xf>
    <xf numFmtId="0" fontId="30" fillId="8" borderId="1" xfId="0" applyFont="1" applyFill="1" applyBorder="1" applyAlignment="1">
      <alignment vertical="center"/>
    </xf>
    <xf numFmtId="0" fontId="30" fillId="8" borderId="26" xfId="0" applyFont="1" applyFill="1" applyBorder="1" applyAlignment="1">
      <alignment vertical="center"/>
    </xf>
    <xf numFmtId="0" fontId="35" fillId="8" borderId="57" xfId="0" applyFont="1" applyFill="1" applyBorder="1" applyAlignment="1">
      <alignment horizontal="center" vertical="center"/>
    </xf>
    <xf numFmtId="0" fontId="35" fillId="8" borderId="61" xfId="0" applyFont="1" applyFill="1" applyBorder="1" applyAlignment="1">
      <alignment horizontal="center" vertical="center"/>
    </xf>
    <xf numFmtId="0" fontId="30" fillId="8" borderId="0" xfId="0" applyFont="1" applyFill="1" applyAlignment="1">
      <alignment vertical="center"/>
    </xf>
    <xf numFmtId="0" fontId="36" fillId="0" borderId="0" xfId="0" applyFont="1" applyAlignment="1">
      <alignment vertical="center" wrapText="1"/>
    </xf>
    <xf numFmtId="0" fontId="30" fillId="8" borderId="69" xfId="0" applyFont="1" applyFill="1" applyBorder="1" applyAlignment="1">
      <alignment vertical="center"/>
    </xf>
    <xf numFmtId="0" fontId="30" fillId="8" borderId="0" xfId="0" applyFont="1" applyFill="1" applyAlignment="1">
      <alignment vertical="center" wrapText="1"/>
    </xf>
    <xf numFmtId="0" fontId="31" fillId="8" borderId="1" xfId="0" applyFont="1" applyFill="1" applyBorder="1" applyAlignment="1">
      <alignment horizontal="center" vertical="center" wrapText="1"/>
    </xf>
    <xf numFmtId="166" fontId="30" fillId="8" borderId="63" xfId="0" applyNumberFormat="1" applyFont="1" applyFill="1" applyBorder="1" applyAlignment="1">
      <alignment vertical="center"/>
    </xf>
    <xf numFmtId="166" fontId="30" fillId="8" borderId="64" xfId="0" applyNumberFormat="1" applyFont="1" applyFill="1" applyBorder="1" applyAlignment="1">
      <alignment vertical="center"/>
    </xf>
    <xf numFmtId="166" fontId="31" fillId="0" borderId="0" xfId="0" applyNumberFormat="1" applyFont="1" applyAlignment="1">
      <alignment horizontal="center" vertical="center" wrapText="1"/>
    </xf>
    <xf numFmtId="166" fontId="31" fillId="8" borderId="1" xfId="0" applyNumberFormat="1" applyFont="1" applyFill="1" applyBorder="1" applyAlignment="1">
      <alignment vertical="center" wrapText="1"/>
    </xf>
    <xf numFmtId="166" fontId="30" fillId="8" borderId="65" xfId="0" applyNumberFormat="1" applyFont="1" applyFill="1" applyBorder="1" applyAlignment="1">
      <alignment vertical="center"/>
    </xf>
    <xf numFmtId="166" fontId="30" fillId="8" borderId="66" xfId="0" applyNumberFormat="1" applyFont="1" applyFill="1" applyBorder="1" applyAlignment="1">
      <alignment vertical="center"/>
    </xf>
    <xf numFmtId="0" fontId="31" fillId="8" borderId="4" xfId="0" applyFont="1" applyFill="1" applyBorder="1" applyAlignment="1">
      <alignment horizontal="center" vertical="center"/>
    </xf>
    <xf numFmtId="0" fontId="31" fillId="8" borderId="4" xfId="0" applyFont="1" applyFill="1" applyBorder="1" applyAlignment="1">
      <alignment horizontal="center" vertical="center" wrapText="1"/>
    </xf>
    <xf numFmtId="166" fontId="31" fillId="8" borderId="4" xfId="0" applyNumberFormat="1" applyFont="1" applyFill="1" applyBorder="1" applyAlignment="1">
      <alignment horizontal="center" vertical="center" wrapText="1"/>
    </xf>
    <xf numFmtId="166" fontId="31" fillId="8" borderId="0" xfId="0" applyNumberFormat="1" applyFont="1" applyFill="1" applyAlignment="1">
      <alignment vertical="center" wrapText="1"/>
    </xf>
    <xf numFmtId="0" fontId="30" fillId="8" borderId="16" xfId="0" applyFont="1" applyFill="1" applyBorder="1" applyAlignment="1">
      <alignment vertical="center"/>
    </xf>
    <xf numFmtId="0" fontId="30" fillId="8" borderId="11" xfId="0" applyFont="1" applyFill="1" applyBorder="1" applyAlignment="1">
      <alignment vertical="center"/>
    </xf>
    <xf numFmtId="0" fontId="35" fillId="8" borderId="12" xfId="0" applyFont="1" applyFill="1" applyBorder="1" applyAlignment="1">
      <alignment vertical="center" wrapText="1"/>
    </xf>
    <xf numFmtId="166" fontId="31" fillId="8" borderId="14" xfId="0" applyNumberFormat="1" applyFont="1" applyFill="1" applyBorder="1" applyAlignment="1">
      <alignment vertical="center" wrapText="1"/>
    </xf>
    <xf numFmtId="0" fontId="0" fillId="8" borderId="58" xfId="0" applyFill="1" applyBorder="1" applyAlignment="1">
      <alignment vertical="center"/>
    </xf>
    <xf numFmtId="0" fontId="0" fillId="8" borderId="56" xfId="0" applyFill="1" applyBorder="1" applyAlignment="1">
      <alignment vertical="center"/>
    </xf>
    <xf numFmtId="3" fontId="25" fillId="6" borderId="4" xfId="0" applyNumberFormat="1" applyFont="1" applyFill="1" applyBorder="1" applyAlignment="1">
      <alignment vertical="center"/>
    </xf>
    <xf numFmtId="0" fontId="38" fillId="8" borderId="58" xfId="0" applyFont="1" applyFill="1" applyBorder="1" applyAlignment="1">
      <alignment horizontal="center" vertical="top"/>
    </xf>
    <xf numFmtId="0" fontId="18" fillId="8" borderId="0" xfId="0" applyFont="1" applyFill="1" applyAlignment="1">
      <alignment vertical="center"/>
    </xf>
    <xf numFmtId="0" fontId="39" fillId="8" borderId="0" xfId="0" applyFont="1" applyFill="1" applyAlignment="1">
      <alignment horizontal="center" vertical="center"/>
    </xf>
    <xf numFmtId="41" fontId="28" fillId="6" borderId="18" xfId="3" applyFont="1" applyFill="1" applyBorder="1" applyAlignment="1" applyProtection="1">
      <alignment vertical="center"/>
    </xf>
    <xf numFmtId="9" fontId="28" fillId="6" borderId="18" xfId="8" applyFont="1" applyFill="1" applyBorder="1" applyAlignment="1" applyProtection="1">
      <alignment vertical="center"/>
    </xf>
    <xf numFmtId="41" fontId="25" fillId="10" borderId="4" xfId="3" applyFont="1" applyFill="1" applyBorder="1" applyAlignment="1" applyProtection="1">
      <alignment vertical="center"/>
    </xf>
    <xf numFmtId="0" fontId="40" fillId="8" borderId="58" xfId="0" applyFont="1" applyFill="1" applyBorder="1" applyAlignment="1">
      <alignment horizontal="center" vertical="top"/>
    </xf>
    <xf numFmtId="41" fontId="28" fillId="6" borderId="4" xfId="3" applyFont="1" applyFill="1" applyBorder="1" applyAlignment="1" applyProtection="1">
      <alignment vertical="center"/>
    </xf>
    <xf numFmtId="9" fontId="28" fillId="6" borderId="4" xfId="8" applyFont="1" applyFill="1" applyBorder="1" applyAlignment="1" applyProtection="1">
      <alignment vertical="center"/>
    </xf>
    <xf numFmtId="166" fontId="20" fillId="8" borderId="56" xfId="0" applyNumberFormat="1" applyFont="1" applyFill="1" applyBorder="1" applyAlignment="1">
      <alignment vertical="center" wrapText="1"/>
    </xf>
    <xf numFmtId="166" fontId="43" fillId="8" borderId="0" xfId="0" applyNumberFormat="1" applyFont="1" applyFill="1" applyAlignment="1">
      <alignment horizontal="center" vertical="center"/>
    </xf>
    <xf numFmtId="0" fontId="0" fillId="8" borderId="59" xfId="0" applyFill="1" applyBorder="1" applyAlignment="1">
      <alignment vertical="center"/>
    </xf>
    <xf numFmtId="0" fontId="0" fillId="8" borderId="25" xfId="0" applyFill="1" applyBorder="1" applyAlignment="1">
      <alignment vertical="center"/>
    </xf>
    <xf numFmtId="166" fontId="19" fillId="8" borderId="25" xfId="0" applyNumberFormat="1" applyFont="1" applyFill="1" applyBorder="1" applyAlignment="1">
      <alignment horizontal="center" vertical="center"/>
    </xf>
    <xf numFmtId="0" fontId="0" fillId="8" borderId="26" xfId="0" applyFill="1" applyBorder="1" applyAlignment="1">
      <alignment vertical="center"/>
    </xf>
    <xf numFmtId="0" fontId="0" fillId="8" borderId="60" xfId="0" applyFill="1" applyBorder="1" applyAlignment="1">
      <alignment vertical="center"/>
    </xf>
    <xf numFmtId="166" fontId="19" fillId="8" borderId="0" xfId="0" applyNumberFormat="1" applyFont="1" applyFill="1" applyAlignment="1">
      <alignment horizontal="center" vertical="center"/>
    </xf>
    <xf numFmtId="0" fontId="0" fillId="8" borderId="61" xfId="0" applyFill="1" applyBorder="1" applyAlignment="1">
      <alignment vertical="center"/>
    </xf>
    <xf numFmtId="0" fontId="40" fillId="8" borderId="60" xfId="0" applyFont="1" applyFill="1" applyBorder="1" applyAlignment="1">
      <alignment vertical="center"/>
    </xf>
    <xf numFmtId="166" fontId="20" fillId="8" borderId="0" xfId="0" applyNumberFormat="1" applyFont="1" applyFill="1" applyAlignment="1">
      <alignment vertical="center" wrapText="1"/>
    </xf>
    <xf numFmtId="0" fontId="0" fillId="8" borderId="0" xfId="0" applyFill="1" applyAlignment="1">
      <alignment horizontal="left" vertical="center"/>
    </xf>
    <xf numFmtId="166" fontId="15" fillId="8" borderId="0" xfId="0" applyNumberFormat="1" applyFont="1" applyFill="1" applyAlignment="1">
      <alignment horizontal="center" vertical="center"/>
    </xf>
    <xf numFmtId="0" fontId="0" fillId="8" borderId="27" xfId="0" applyFill="1" applyBorder="1" applyAlignment="1">
      <alignment vertical="center"/>
    </xf>
    <xf numFmtId="0" fontId="0" fillId="8" borderId="25" xfId="0" applyFill="1" applyBorder="1" applyAlignment="1">
      <alignment horizontal="left" vertical="center"/>
    </xf>
    <xf numFmtId="41" fontId="44" fillId="8" borderId="25" xfId="3" applyFont="1" applyFill="1" applyBorder="1" applyAlignment="1" applyProtection="1">
      <alignment horizontal="center" vertical="center"/>
    </xf>
    <xf numFmtId="166" fontId="20" fillId="8" borderId="26" xfId="0" applyNumberFormat="1" applyFont="1" applyFill="1" applyBorder="1" applyAlignment="1">
      <alignment vertical="center" wrapText="1"/>
    </xf>
    <xf numFmtId="166" fontId="4" fillId="8" borderId="0" xfId="0" applyNumberFormat="1" applyFont="1" applyFill="1" applyAlignment="1">
      <alignment horizontal="center" vertical="center" wrapText="1"/>
    </xf>
    <xf numFmtId="0" fontId="16" fillId="8" borderId="87" xfId="0" applyFont="1" applyFill="1" applyBorder="1" applyAlignment="1">
      <alignment horizontal="center" vertical="center" wrapText="1"/>
    </xf>
    <xf numFmtId="0" fontId="0" fillId="2" borderId="27" xfId="0" applyFill="1" applyBorder="1" applyAlignment="1">
      <alignment vertical="center"/>
    </xf>
    <xf numFmtId="0" fontId="0" fillId="2" borderId="25" xfId="0" applyFill="1" applyBorder="1" applyAlignment="1">
      <alignment vertical="center"/>
    </xf>
    <xf numFmtId="0" fontId="19" fillId="2" borderId="25" xfId="0" applyFont="1" applyFill="1" applyBorder="1" applyAlignment="1">
      <alignment vertical="center"/>
    </xf>
    <xf numFmtId="0" fontId="0" fillId="2" borderId="26" xfId="0" applyFill="1" applyBorder="1" applyAlignment="1">
      <alignment vertical="center"/>
    </xf>
    <xf numFmtId="0" fontId="0" fillId="0" borderId="25" xfId="0" applyBorder="1" applyAlignment="1">
      <alignment vertical="center"/>
    </xf>
    <xf numFmtId="0" fontId="45" fillId="0" borderId="0" xfId="0" applyFont="1" applyAlignment="1">
      <alignment vertical="center"/>
    </xf>
    <xf numFmtId="0" fontId="8" fillId="8" borderId="0" xfId="0" applyFont="1" applyFill="1" applyAlignment="1">
      <alignment vertical="center"/>
    </xf>
    <xf numFmtId="0" fontId="14" fillId="8" borderId="13" xfId="0" applyFont="1" applyFill="1" applyBorder="1" applyAlignment="1">
      <alignment horizontal="justify" vertical="center" wrapText="1"/>
    </xf>
    <xf numFmtId="0" fontId="14" fillId="8" borderId="5" xfId="0" applyFont="1" applyFill="1" applyBorder="1" applyAlignment="1">
      <alignment horizontal="justify" vertical="center" wrapText="1"/>
    </xf>
    <xf numFmtId="0" fontId="16" fillId="8" borderId="5" xfId="0" applyFont="1" applyFill="1" applyBorder="1" applyAlignment="1">
      <alignment horizontal="center" vertical="center" wrapText="1"/>
    </xf>
    <xf numFmtId="0" fontId="14" fillId="8" borderId="10" xfId="0" applyFont="1" applyFill="1" applyBorder="1" applyAlignment="1">
      <alignment horizontal="justify" vertical="center" wrapText="1"/>
    </xf>
    <xf numFmtId="0" fontId="14" fillId="3" borderId="0" xfId="0" applyFont="1" applyFill="1" applyAlignment="1">
      <alignment horizontal="justify" vertical="center" wrapText="1"/>
    </xf>
    <xf numFmtId="0" fontId="14" fillId="8" borderId="2" xfId="0" applyFont="1" applyFill="1" applyBorder="1" applyAlignment="1">
      <alignment horizontal="justify" vertical="center" wrapText="1"/>
    </xf>
    <xf numFmtId="0" fontId="25" fillId="0" borderId="0" xfId="0" applyFont="1" applyAlignment="1">
      <alignment horizontal="left" vertical="center"/>
    </xf>
    <xf numFmtId="0" fontId="14" fillId="0" borderId="0" xfId="0" applyFont="1" applyAlignment="1">
      <alignment horizontal="left" vertical="center"/>
    </xf>
    <xf numFmtId="0" fontId="14" fillId="8" borderId="0" xfId="0" applyFont="1" applyFill="1" applyAlignment="1">
      <alignment horizontal="justify" vertical="center" wrapText="1"/>
    </xf>
    <xf numFmtId="0" fontId="14" fillId="8" borderId="1" xfId="0" applyFont="1" applyFill="1" applyBorder="1" applyAlignment="1">
      <alignment horizontal="justify" vertical="center" wrapText="1"/>
    </xf>
    <xf numFmtId="0" fontId="14" fillId="8" borderId="2" xfId="0" applyFont="1" applyFill="1" applyBorder="1" applyAlignment="1">
      <alignment vertical="center"/>
    </xf>
    <xf numFmtId="0" fontId="14" fillId="8" borderId="1" xfId="0" applyFont="1" applyFill="1" applyBorder="1" applyAlignment="1">
      <alignment vertical="center"/>
    </xf>
    <xf numFmtId="0" fontId="13" fillId="8" borderId="4" xfId="0" applyFont="1" applyFill="1" applyBorder="1" applyAlignment="1">
      <alignment horizontal="center" vertical="center" wrapText="1"/>
    </xf>
    <xf numFmtId="165" fontId="20" fillId="4" borderId="4" xfId="5" applyFont="1" applyFill="1" applyBorder="1" applyAlignment="1" applyProtection="1">
      <alignment horizontal="justify" vertical="center" wrapText="1"/>
    </xf>
    <xf numFmtId="0" fontId="20" fillId="4" borderId="4" xfId="0" applyFont="1" applyFill="1" applyBorder="1" applyAlignment="1">
      <alignment horizontal="center" vertical="center" wrapText="1"/>
    </xf>
    <xf numFmtId="166" fontId="25" fillId="0" borderId="4" xfId="5" applyNumberFormat="1" applyFont="1" applyFill="1" applyBorder="1" applyAlignment="1" applyProtection="1">
      <alignment horizontal="justify" vertical="center" wrapText="1"/>
    </xf>
    <xf numFmtId="0" fontId="16" fillId="8" borderId="0" xfId="0" applyFont="1" applyFill="1" applyAlignment="1">
      <alignment horizontal="justify" vertical="center" wrapText="1"/>
    </xf>
    <xf numFmtId="0" fontId="5" fillId="0" borderId="0" xfId="0" applyFont="1"/>
    <xf numFmtId="0" fontId="48" fillId="0" borderId="0" xfId="0" applyFont="1" applyAlignment="1">
      <alignment vertical="center"/>
    </xf>
    <xf numFmtId="0" fontId="33" fillId="0" borderId="0" xfId="0" applyFont="1" applyAlignment="1">
      <alignment vertical="center"/>
    </xf>
    <xf numFmtId="0" fontId="33" fillId="0" borderId="9" xfId="0" applyFont="1" applyBorder="1" applyAlignment="1">
      <alignment vertical="center"/>
    </xf>
    <xf numFmtId="0" fontId="33" fillId="0" borderId="0" xfId="0" applyFont="1" applyAlignment="1">
      <alignment horizontal="center" vertical="center" wrapText="1"/>
    </xf>
    <xf numFmtId="0" fontId="35" fillId="8" borderId="129" xfId="0" applyFont="1" applyFill="1" applyBorder="1" applyAlignment="1">
      <alignment horizontal="center" vertical="center"/>
    </xf>
    <xf numFmtId="0" fontId="35" fillId="8" borderId="131" xfId="0" applyFont="1" applyFill="1" applyBorder="1" applyAlignment="1">
      <alignment horizontal="center" vertical="center" wrapText="1"/>
    </xf>
    <xf numFmtId="0" fontId="35" fillId="8" borderId="125" xfId="0" applyFont="1" applyFill="1" applyBorder="1" applyAlignment="1">
      <alignment horizontal="center" vertical="center" wrapText="1"/>
    </xf>
    <xf numFmtId="0" fontId="35" fillId="8" borderId="126" xfId="0" applyFont="1" applyFill="1" applyBorder="1" applyAlignment="1">
      <alignment horizontal="center" vertical="center" wrapText="1"/>
    </xf>
    <xf numFmtId="166" fontId="35" fillId="8" borderId="132" xfId="0" applyNumberFormat="1" applyFont="1" applyFill="1" applyBorder="1" applyAlignment="1">
      <alignment vertical="center" wrapText="1"/>
    </xf>
    <xf numFmtId="166" fontId="36" fillId="1" borderId="133" xfId="0" applyNumberFormat="1" applyFont="1" applyFill="1" applyBorder="1" applyAlignment="1">
      <alignment horizontal="center" vertical="center" wrapText="1"/>
    </xf>
    <xf numFmtId="166" fontId="30" fillId="0" borderId="0" xfId="0" applyNumberFormat="1" applyFont="1" applyAlignment="1">
      <alignment vertical="center"/>
    </xf>
    <xf numFmtId="166" fontId="35" fillId="8" borderId="122" xfId="0" applyNumberFormat="1" applyFont="1" applyFill="1" applyBorder="1" applyAlignment="1">
      <alignment vertical="center" wrapText="1"/>
    </xf>
    <xf numFmtId="166" fontId="36" fillId="1" borderId="123" xfId="0" applyNumberFormat="1" applyFont="1" applyFill="1" applyBorder="1" applyAlignment="1">
      <alignment horizontal="center" vertical="center" wrapText="1"/>
    </xf>
    <xf numFmtId="9" fontId="30" fillId="0" borderId="0" xfId="8" applyFont="1" applyFill="1" applyAlignment="1" applyProtection="1">
      <alignment vertical="center"/>
    </xf>
    <xf numFmtId="166" fontId="35" fillId="8" borderId="122" xfId="0" applyNumberFormat="1" applyFont="1" applyFill="1" applyBorder="1" applyAlignment="1">
      <alignment horizontal="center" vertical="center" wrapText="1"/>
    </xf>
    <xf numFmtId="166" fontId="35" fillId="8" borderId="122" xfId="5" applyNumberFormat="1" applyFont="1" applyFill="1" applyBorder="1" applyAlignment="1" applyProtection="1">
      <alignment horizontal="left" vertical="center" wrapText="1"/>
    </xf>
    <xf numFmtId="166" fontId="36" fillId="1" borderId="4" xfId="0" applyNumberFormat="1" applyFont="1" applyFill="1" applyBorder="1" applyAlignment="1">
      <alignment horizontal="center" vertical="center" wrapText="1"/>
    </xf>
    <xf numFmtId="166" fontId="35" fillId="8" borderId="127" xfId="5" applyNumberFormat="1" applyFont="1" applyFill="1" applyBorder="1" applyAlignment="1" applyProtection="1">
      <alignment horizontal="left" vertical="center" wrapText="1"/>
    </xf>
    <xf numFmtId="166" fontId="36" fillId="1" borderId="17" xfId="0" applyNumberFormat="1" applyFont="1" applyFill="1" applyBorder="1" applyAlignment="1">
      <alignment horizontal="center" vertical="center" wrapText="1"/>
    </xf>
    <xf numFmtId="0" fontId="35" fillId="8" borderId="15" xfId="0" applyFont="1" applyFill="1" applyBorder="1" applyAlignment="1">
      <alignment horizontal="center" vertical="center"/>
    </xf>
    <xf numFmtId="166" fontId="35" fillId="8" borderId="129" xfId="0" applyNumberFormat="1" applyFont="1" applyFill="1" applyBorder="1" applyAlignment="1">
      <alignment horizontal="center" vertical="center" wrapText="1"/>
    </xf>
    <xf numFmtId="166" fontId="35" fillId="8" borderId="130" xfId="0" applyNumberFormat="1" applyFont="1" applyFill="1" applyBorder="1" applyAlignment="1">
      <alignment horizontal="center" vertical="center" wrapText="1"/>
    </xf>
    <xf numFmtId="166" fontId="35" fillId="8" borderId="131" xfId="0" applyNumberFormat="1" applyFont="1" applyFill="1" applyBorder="1" applyAlignment="1">
      <alignment horizontal="center" vertical="center" wrapText="1"/>
    </xf>
    <xf numFmtId="0" fontId="33" fillId="0" borderId="3" xfId="0" applyFont="1" applyBorder="1" applyAlignment="1">
      <alignment horizontal="center" vertical="center" wrapText="1"/>
    </xf>
    <xf numFmtId="9" fontId="33" fillId="0" borderId="0" xfId="8" applyFont="1" applyFill="1" applyAlignment="1" applyProtection="1">
      <alignment horizontal="center" vertical="center" wrapText="1"/>
    </xf>
    <xf numFmtId="0" fontId="30" fillId="0" borderId="0" xfId="0" applyFont="1"/>
    <xf numFmtId="0" fontId="50" fillId="0" borderId="0" xfId="0" applyFont="1" applyAlignment="1">
      <alignment vertical="center"/>
    </xf>
    <xf numFmtId="0" fontId="51" fillId="0" borderId="0" xfId="0" applyFont="1" applyAlignment="1">
      <alignment vertical="center"/>
    </xf>
    <xf numFmtId="0" fontId="33" fillId="8" borderId="0" xfId="0" applyFont="1" applyFill="1" applyAlignment="1">
      <alignment vertical="center"/>
    </xf>
    <xf numFmtId="0" fontId="36" fillId="8" borderId="0" xfId="0" applyFont="1" applyFill="1" applyAlignment="1">
      <alignment vertical="center" wrapText="1"/>
    </xf>
    <xf numFmtId="0" fontId="30" fillId="0" borderId="0" xfId="0" applyFont="1" applyAlignment="1">
      <alignment horizontal="justify" vertical="center" wrapText="1"/>
    </xf>
    <xf numFmtId="0" fontId="31" fillId="0" borderId="0" xfId="0" applyFont="1" applyAlignment="1">
      <alignment vertical="center"/>
    </xf>
    <xf numFmtId="0" fontId="30" fillId="0" borderId="6" xfId="0" applyFont="1" applyBorder="1" applyAlignment="1">
      <alignment horizontal="justify" vertical="center" wrapText="1"/>
    </xf>
    <xf numFmtId="0" fontId="30" fillId="8" borderId="0" xfId="0" applyFont="1" applyFill="1" applyAlignment="1">
      <alignment horizontal="justify" vertical="center" wrapText="1"/>
    </xf>
    <xf numFmtId="0" fontId="52" fillId="8" borderId="0" xfId="0" applyFont="1" applyFill="1" applyAlignment="1">
      <alignment horizontal="center" vertical="center"/>
    </xf>
    <xf numFmtId="0" fontId="24" fillId="0" borderId="0" xfId="0" applyFont="1"/>
    <xf numFmtId="166" fontId="22" fillId="10" borderId="49" xfId="0" applyNumberFormat="1" applyFont="1" applyFill="1" applyBorder="1" applyAlignment="1" applyProtection="1">
      <alignment vertical="center" wrapText="1"/>
      <protection locked="0"/>
    </xf>
    <xf numFmtId="166" fontId="22" fillId="10" borderId="75" xfId="0" applyNumberFormat="1" applyFont="1" applyFill="1" applyBorder="1" applyAlignment="1" applyProtection="1">
      <alignment vertical="center" wrapText="1"/>
      <protection locked="0"/>
    </xf>
    <xf numFmtId="166" fontId="22" fillId="10" borderId="29" xfId="5" applyNumberFormat="1" applyFont="1" applyFill="1" applyBorder="1" applyAlignment="1" applyProtection="1">
      <alignment horizontal="center" vertical="center" wrapText="1"/>
      <protection locked="0"/>
    </xf>
    <xf numFmtId="166" fontId="22" fillId="10" borderId="36" xfId="5" applyNumberFormat="1" applyFont="1" applyFill="1" applyBorder="1" applyAlignment="1" applyProtection="1">
      <alignment horizontal="center" vertical="center" wrapText="1"/>
      <protection locked="0"/>
    </xf>
    <xf numFmtId="0" fontId="4" fillId="10" borderId="45" xfId="0" applyFont="1" applyFill="1" applyBorder="1" applyAlignment="1">
      <alignment horizontal="left" vertical="center" wrapText="1"/>
    </xf>
    <xf numFmtId="0" fontId="4" fillId="10" borderId="39" xfId="0" applyFont="1" applyFill="1" applyBorder="1" applyAlignment="1">
      <alignment horizontal="left" vertical="center" wrapText="1"/>
    </xf>
    <xf numFmtId="0" fontId="4" fillId="10" borderId="40" xfId="0" applyFont="1" applyFill="1" applyBorder="1" applyAlignment="1">
      <alignment horizontal="left" vertical="center" wrapText="1"/>
    </xf>
    <xf numFmtId="0" fontId="7" fillId="0" borderId="0" xfId="0" applyFont="1" applyAlignment="1">
      <alignment vertical="center" wrapText="1"/>
    </xf>
    <xf numFmtId="0" fontId="12" fillId="0" borderId="4" xfId="0" applyFont="1" applyBorder="1" applyAlignment="1">
      <alignment horizontal="center" vertical="center" wrapText="1"/>
    </xf>
    <xf numFmtId="167" fontId="12" fillId="0" borderId="4" xfId="3" applyNumberFormat="1" applyFont="1" applyBorder="1" applyAlignment="1">
      <alignment horizontal="center" vertical="center" wrapText="1"/>
    </xf>
    <xf numFmtId="0" fontId="7" fillId="0" borderId="0" xfId="0" applyFont="1" applyAlignment="1">
      <alignment horizontal="center" vertical="center" wrapText="1"/>
    </xf>
    <xf numFmtId="41" fontId="12" fillId="11" borderId="4" xfId="3" applyFont="1" applyFill="1" applyBorder="1" applyAlignment="1">
      <alignment horizontal="center" vertical="center" wrapText="1"/>
    </xf>
    <xf numFmtId="41" fontId="12" fillId="11" borderId="4" xfId="3" applyFont="1" applyFill="1" applyBorder="1" applyAlignment="1">
      <alignment horizontal="center" vertical="center"/>
    </xf>
    <xf numFmtId="41" fontId="7" fillId="0" borderId="0" xfId="3" applyFont="1" applyAlignment="1">
      <alignment vertical="center"/>
    </xf>
    <xf numFmtId="41" fontId="12" fillId="12" borderId="4" xfId="3" applyFont="1" applyFill="1" applyBorder="1" applyAlignment="1">
      <alignment horizontal="center" vertical="center" wrapText="1"/>
    </xf>
    <xf numFmtId="41" fontId="12" fillId="12" borderId="4" xfId="3" applyFont="1" applyFill="1" applyBorder="1" applyAlignment="1">
      <alignment horizontal="center" vertical="center"/>
    </xf>
    <xf numFmtId="41" fontId="12" fillId="13" borderId="4" xfId="3" applyFont="1" applyFill="1" applyBorder="1" applyAlignment="1">
      <alignment horizontal="center" vertical="center"/>
    </xf>
    <xf numFmtId="0" fontId="12" fillId="13" borderId="4" xfId="0" applyFont="1" applyFill="1" applyBorder="1" applyAlignment="1">
      <alignment horizontal="center" vertical="center"/>
    </xf>
    <xf numFmtId="0" fontId="6" fillId="7" borderId="4" xfId="0" applyFont="1" applyFill="1" applyBorder="1" applyAlignment="1">
      <alignment vertical="center" wrapText="1"/>
    </xf>
    <xf numFmtId="167" fontId="7" fillId="0" borderId="4" xfId="3" applyNumberFormat="1" applyFont="1" applyBorder="1" applyAlignment="1">
      <alignment vertical="center"/>
    </xf>
    <xf numFmtId="41" fontId="7" fillId="0" borderId="4" xfId="3" applyFont="1" applyBorder="1" applyAlignment="1">
      <alignment vertical="center"/>
    </xf>
    <xf numFmtId="168" fontId="7" fillId="0" borderId="4" xfId="3" applyNumberFormat="1" applyFont="1" applyBorder="1" applyAlignment="1">
      <alignment vertical="center"/>
    </xf>
    <xf numFmtId="41" fontId="12" fillId="0" borderId="4" xfId="3" applyFont="1" applyBorder="1" applyAlignment="1">
      <alignment vertical="center"/>
    </xf>
    <xf numFmtId="167" fontId="12" fillId="11" borderId="4" xfId="3" applyNumberFormat="1" applyFont="1" applyFill="1" applyBorder="1" applyAlignment="1">
      <alignment vertical="center"/>
    </xf>
    <xf numFmtId="41" fontId="12" fillId="11" borderId="4" xfId="3" applyFont="1" applyFill="1" applyBorder="1" applyAlignment="1">
      <alignment vertical="center"/>
    </xf>
    <xf numFmtId="168" fontId="12" fillId="12" borderId="4" xfId="3" applyNumberFormat="1" applyFont="1" applyFill="1" applyBorder="1" applyAlignment="1">
      <alignment vertical="center"/>
    </xf>
    <xf numFmtId="41" fontId="12" fillId="12" borderId="4" xfId="3" applyFont="1" applyFill="1" applyBorder="1" applyAlignment="1">
      <alignment vertical="center"/>
    </xf>
    <xf numFmtId="41" fontId="12" fillId="13" borderId="4" xfId="3" applyFont="1" applyFill="1" applyBorder="1" applyAlignment="1">
      <alignment vertical="center"/>
    </xf>
    <xf numFmtId="167" fontId="7" fillId="0" borderId="0" xfId="3" applyNumberFormat="1" applyFont="1" applyAlignment="1">
      <alignment vertical="center"/>
    </xf>
    <xf numFmtId="168" fontId="7" fillId="0" borderId="0" xfId="3" applyNumberFormat="1" applyFont="1" applyAlignment="1">
      <alignment vertical="center"/>
    </xf>
    <xf numFmtId="0" fontId="7" fillId="0" borderId="4" xfId="0" applyFont="1" applyBorder="1" applyAlignment="1">
      <alignment vertical="center" wrapText="1"/>
    </xf>
    <xf numFmtId="41" fontId="12" fillId="0" borderId="0" xfId="3" applyFont="1" applyAlignment="1">
      <alignment vertical="center"/>
    </xf>
    <xf numFmtId="167" fontId="7" fillId="0" borderId="0" xfId="0" applyNumberFormat="1" applyFont="1" applyAlignment="1">
      <alignment vertical="center"/>
    </xf>
    <xf numFmtId="0" fontId="11" fillId="0" borderId="0" xfId="0" applyFont="1" applyAlignment="1">
      <alignment vertical="center" wrapText="1"/>
    </xf>
    <xf numFmtId="0" fontId="11" fillId="0" borderId="4" xfId="0" applyFont="1" applyBorder="1" applyAlignment="1">
      <alignment vertical="center" wrapText="1"/>
    </xf>
    <xf numFmtId="0" fontId="10" fillId="0" borderId="4" xfId="0" applyFont="1" applyBorder="1" applyAlignment="1">
      <alignment horizontal="center" vertical="center" wrapText="1"/>
    </xf>
    <xf numFmtId="166" fontId="25" fillId="0" borderId="8" xfId="5" applyNumberFormat="1" applyFont="1" applyFill="1" applyBorder="1" applyAlignment="1" applyProtection="1">
      <alignment horizontal="justify" vertical="center" wrapText="1"/>
    </xf>
    <xf numFmtId="0" fontId="30" fillId="3" borderId="4" xfId="0" applyFont="1" applyFill="1" applyBorder="1" applyAlignment="1" applyProtection="1">
      <alignment horizontal="justify" vertical="top" wrapText="1"/>
      <protection locked="0"/>
    </xf>
    <xf numFmtId="0" fontId="14" fillId="10" borderId="4" xfId="2" applyNumberFormat="1" applyFont="1" applyFill="1" applyBorder="1" applyAlignment="1" applyProtection="1">
      <alignment horizontal="center" vertical="center" wrapText="1"/>
      <protection locked="0"/>
    </xf>
    <xf numFmtId="43" fontId="14" fillId="10" borderId="4" xfId="2" applyFont="1" applyFill="1" applyBorder="1" applyAlignment="1" applyProtection="1">
      <alignment horizontal="justify" vertical="center" wrapText="1"/>
      <protection locked="0"/>
    </xf>
    <xf numFmtId="0" fontId="20" fillId="10" borderId="4" xfId="0" applyFont="1" applyFill="1" applyBorder="1" applyAlignment="1" applyProtection="1">
      <alignment horizontal="center" vertical="center" wrapText="1"/>
      <protection locked="0"/>
    </xf>
    <xf numFmtId="165" fontId="14" fillId="10" borderId="4" xfId="5" applyFont="1" applyFill="1" applyBorder="1" applyAlignment="1" applyProtection="1">
      <alignment horizontal="justify" vertical="center" wrapText="1"/>
      <protection locked="0"/>
    </xf>
    <xf numFmtId="166" fontId="25" fillId="10" borderId="8" xfId="5" applyNumberFormat="1" applyFont="1" applyFill="1" applyBorder="1" applyAlignment="1" applyProtection="1">
      <alignment horizontal="left" vertical="center" wrapText="1"/>
      <protection locked="0"/>
    </xf>
    <xf numFmtId="166" fontId="30" fillId="10" borderId="32" xfId="0" applyNumberFormat="1" applyFont="1" applyFill="1" applyBorder="1" applyAlignment="1" applyProtection="1">
      <alignment vertical="center"/>
      <protection locked="0"/>
    </xf>
    <xf numFmtId="0" fontId="31" fillId="10" borderId="31" xfId="0" applyFont="1" applyFill="1" applyBorder="1" applyAlignment="1">
      <alignment vertical="center"/>
    </xf>
    <xf numFmtId="166" fontId="31" fillId="10" borderId="30" xfId="0" applyNumberFormat="1" applyFont="1" applyFill="1" applyBorder="1" applyAlignment="1">
      <alignment horizontal="center" vertical="center"/>
    </xf>
    <xf numFmtId="0" fontId="31" fillId="10" borderId="31" xfId="0" applyFont="1" applyFill="1" applyBorder="1" applyAlignment="1">
      <alignment vertical="center" wrapText="1"/>
    </xf>
    <xf numFmtId="166" fontId="31" fillId="10" borderId="48" xfId="0" applyNumberFormat="1" applyFont="1" applyFill="1" applyBorder="1" applyAlignment="1">
      <alignment horizontal="center" vertical="center"/>
    </xf>
    <xf numFmtId="0" fontId="31" fillId="10" borderId="33" xfId="0" applyFont="1" applyFill="1" applyBorder="1" applyAlignment="1">
      <alignment vertical="center"/>
    </xf>
    <xf numFmtId="0" fontId="31" fillId="10" borderId="34" xfId="0" applyFont="1" applyFill="1" applyBorder="1" applyAlignment="1">
      <alignment vertical="center"/>
    </xf>
    <xf numFmtId="0" fontId="31" fillId="10" borderId="58" xfId="0" applyFont="1" applyFill="1" applyBorder="1" applyAlignment="1">
      <alignment vertical="center"/>
    </xf>
    <xf numFmtId="0" fontId="31" fillId="10" borderId="35" xfId="0" applyFont="1" applyFill="1" applyBorder="1" applyAlignment="1">
      <alignment vertical="center"/>
    </xf>
    <xf numFmtId="0" fontId="31" fillId="11" borderId="8" xfId="0" applyFont="1" applyFill="1" applyBorder="1" applyAlignment="1">
      <alignment vertical="center"/>
    </xf>
    <xf numFmtId="164" fontId="31" fillId="11" borderId="7" xfId="6" applyFont="1" applyFill="1" applyBorder="1" applyAlignment="1">
      <alignment vertical="center"/>
    </xf>
    <xf numFmtId="0" fontId="31" fillId="11" borderId="4" xfId="0" applyFont="1" applyFill="1" applyBorder="1" applyAlignment="1">
      <alignment vertical="center"/>
    </xf>
    <xf numFmtId="164" fontId="31" fillId="11" borderId="8" xfId="6" applyFont="1" applyFill="1" applyBorder="1" applyAlignment="1">
      <alignment vertical="center"/>
    </xf>
    <xf numFmtId="164" fontId="31" fillId="11" borderId="6" xfId="6" applyFont="1" applyFill="1" applyBorder="1" applyAlignment="1">
      <alignment vertical="center"/>
    </xf>
    <xf numFmtId="0" fontId="5" fillId="10" borderId="4" xfId="0" applyFont="1" applyFill="1" applyBorder="1" applyAlignment="1">
      <alignment horizontal="left" vertical="center" wrapText="1" indent="1"/>
    </xf>
    <xf numFmtId="166" fontId="27" fillId="10" borderId="4" xfId="0" applyNumberFormat="1" applyFont="1" applyFill="1" applyBorder="1" applyAlignment="1" applyProtection="1">
      <alignment horizontal="center" vertical="center"/>
      <protection locked="0"/>
    </xf>
    <xf numFmtId="0" fontId="5" fillId="10" borderId="4" xfId="0" applyFont="1" applyFill="1" applyBorder="1" applyAlignment="1">
      <alignment horizontal="left" vertical="center" indent="1"/>
    </xf>
    <xf numFmtId="0" fontId="4" fillId="10" borderId="4" xfId="0" applyFont="1" applyFill="1" applyBorder="1" applyAlignment="1">
      <alignment horizontal="left" vertical="center" wrapText="1" indent="1"/>
    </xf>
    <xf numFmtId="166" fontId="27" fillId="10" borderId="7" xfId="0" applyNumberFormat="1" applyFont="1" applyFill="1" applyBorder="1" applyAlignment="1" applyProtection="1">
      <alignment horizontal="center" vertical="center"/>
      <protection locked="0"/>
    </xf>
    <xf numFmtId="0" fontId="4" fillId="10" borderId="4" xfId="0" applyFont="1" applyFill="1" applyBorder="1" applyAlignment="1">
      <alignment horizontal="left" vertical="center" indent="1"/>
    </xf>
    <xf numFmtId="0" fontId="27" fillId="10" borderId="0" xfId="0" applyFont="1" applyFill="1" applyAlignment="1">
      <alignment horizontal="justify" vertical="center" wrapText="1"/>
    </xf>
    <xf numFmtId="166" fontId="27" fillId="10" borderId="7" xfId="0" applyNumberFormat="1" applyFont="1" applyFill="1" applyBorder="1" applyAlignment="1">
      <alignment horizontal="center" vertical="center"/>
    </xf>
    <xf numFmtId="166" fontId="36" fillId="10" borderId="18" xfId="0" applyNumberFormat="1" applyFont="1" applyFill="1" applyBorder="1" applyAlignment="1">
      <alignment vertical="center" wrapText="1"/>
    </xf>
    <xf numFmtId="166" fontId="36" fillId="10" borderId="4" xfId="0" applyNumberFormat="1" applyFont="1" applyFill="1" applyBorder="1" applyAlignment="1">
      <alignment vertical="center" wrapText="1"/>
    </xf>
    <xf numFmtId="166" fontId="36" fillId="10" borderId="123" xfId="5" applyNumberFormat="1" applyFont="1" applyFill="1" applyBorder="1" applyAlignment="1" applyProtection="1">
      <alignment horizontal="center" vertical="center" wrapText="1"/>
    </xf>
    <xf numFmtId="166" fontId="36" fillId="10" borderId="17" xfId="0" applyNumberFormat="1" applyFont="1" applyFill="1" applyBorder="1" applyAlignment="1">
      <alignment vertical="center" wrapText="1"/>
    </xf>
    <xf numFmtId="166" fontId="36" fillId="10" borderId="128" xfId="5" applyNumberFormat="1" applyFont="1" applyFill="1" applyBorder="1" applyAlignment="1" applyProtection="1">
      <alignment horizontal="center" vertical="center" wrapText="1"/>
    </xf>
    <xf numFmtId="0" fontId="37" fillId="10" borderId="11" xfId="0" applyFont="1" applyFill="1" applyBorder="1" applyAlignment="1">
      <alignment horizontal="left" vertical="center" wrapText="1"/>
    </xf>
    <xf numFmtId="0" fontId="37" fillId="10" borderId="8" xfId="0" applyFont="1" applyFill="1" applyBorder="1" applyAlignment="1">
      <alignment horizontal="left" vertical="center" wrapText="1"/>
    </xf>
    <xf numFmtId="0" fontId="37" fillId="10" borderId="13" xfId="0" applyFont="1" applyFill="1" applyBorder="1" applyAlignment="1">
      <alignment horizontal="left" vertical="center" wrapText="1"/>
    </xf>
    <xf numFmtId="0" fontId="55" fillId="10" borderId="8"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37" fillId="10" borderId="8" xfId="0" applyFont="1" applyFill="1" applyBorder="1" applyAlignment="1">
      <alignment vertical="center" wrapText="1"/>
    </xf>
    <xf numFmtId="166" fontId="37" fillId="10" borderId="4" xfId="5" applyNumberFormat="1" applyFont="1" applyFill="1" applyBorder="1" applyAlignment="1" applyProtection="1">
      <alignment vertical="center" wrapText="1"/>
    </xf>
    <xf numFmtId="166" fontId="37" fillId="10" borderId="4" xfId="5" applyNumberFormat="1" applyFont="1" applyFill="1" applyBorder="1" applyAlignment="1" applyProtection="1">
      <alignment horizontal="center" vertical="center" wrapText="1"/>
    </xf>
    <xf numFmtId="0" fontId="31" fillId="0" borderId="6" xfId="0" applyFont="1" applyBorder="1" applyAlignment="1">
      <alignment vertical="center" wrapText="1"/>
    </xf>
    <xf numFmtId="0" fontId="31" fillId="0" borderId="5" xfId="0" applyFont="1" applyBorder="1" applyAlignment="1">
      <alignment vertical="center" wrapText="1"/>
    </xf>
    <xf numFmtId="0" fontId="27" fillId="10" borderId="0" xfId="0" applyFont="1" applyFill="1" applyAlignment="1">
      <alignment horizontal="left" vertical="center" wrapText="1"/>
    </xf>
    <xf numFmtId="0" fontId="22" fillId="10" borderId="4" xfId="0" applyFont="1" applyFill="1" applyBorder="1" applyAlignment="1">
      <alignment horizontal="justify" vertical="center" wrapText="1"/>
    </xf>
    <xf numFmtId="0" fontId="22" fillId="10" borderId="4" xfId="0" applyFont="1" applyFill="1" applyBorder="1" applyAlignment="1">
      <alignment horizontal="justify" vertical="center"/>
    </xf>
    <xf numFmtId="0" fontId="42" fillId="10" borderId="4" xfId="0" applyFont="1" applyFill="1" applyBorder="1" applyAlignment="1">
      <alignment horizontal="justify" vertical="center"/>
    </xf>
    <xf numFmtId="0" fontId="42" fillId="10" borderId="4" xfId="0" applyFont="1" applyFill="1" applyBorder="1" applyAlignment="1">
      <alignment horizontal="justify" vertical="center" wrapText="1"/>
    </xf>
    <xf numFmtId="0" fontId="22" fillId="14" borderId="4" xfId="0" applyFont="1" applyFill="1" applyBorder="1" applyAlignment="1">
      <alignment horizontal="justify" vertical="center"/>
    </xf>
    <xf numFmtId="0" fontId="25" fillId="8" borderId="2" xfId="0" applyFont="1" applyFill="1" applyBorder="1" applyAlignment="1">
      <alignment vertical="center" wrapText="1"/>
    </xf>
    <xf numFmtId="0" fontId="21" fillId="0" borderId="0" xfId="0" applyFont="1" applyAlignment="1">
      <alignment vertical="center" wrapText="1"/>
    </xf>
    <xf numFmtId="0" fontId="47" fillId="8" borderId="11" xfId="0" applyFont="1" applyFill="1" applyBorder="1" applyAlignment="1">
      <alignment horizontal="left" vertical="center" wrapText="1"/>
    </xf>
    <xf numFmtId="0" fontId="21" fillId="8" borderId="12" xfId="0" applyFont="1" applyFill="1" applyBorder="1" applyAlignment="1">
      <alignment vertical="center" wrapText="1"/>
    </xf>
    <xf numFmtId="0" fontId="14" fillId="8" borderId="12" xfId="0" applyFont="1" applyFill="1" applyBorder="1" applyAlignment="1">
      <alignment horizontal="justify" vertical="center" wrapText="1"/>
    </xf>
    <xf numFmtId="0" fontId="47" fillId="8" borderId="0" xfId="0" applyFont="1" applyFill="1" applyAlignment="1">
      <alignment horizontal="left" vertical="center" wrapText="1"/>
    </xf>
    <xf numFmtId="0" fontId="21" fillId="8" borderId="0" xfId="0" applyFont="1" applyFill="1" applyAlignment="1">
      <alignment vertical="center" wrapText="1"/>
    </xf>
    <xf numFmtId="0" fontId="59" fillId="16" borderId="0" xfId="0" applyFont="1" applyFill="1" applyAlignment="1" applyProtection="1">
      <alignment vertical="top" wrapText="1"/>
      <protection locked="0"/>
    </xf>
    <xf numFmtId="0" fontId="30" fillId="3" borderId="4" xfId="0" applyFont="1" applyFill="1" applyBorder="1" applyAlignment="1" applyProtection="1">
      <alignment horizontal="left" vertical="top" wrapText="1"/>
      <protection locked="0"/>
    </xf>
    <xf numFmtId="0" fontId="14" fillId="0" borderId="0" xfId="0" applyFont="1" applyAlignment="1">
      <alignment horizontal="left" vertical="center" wrapText="1"/>
    </xf>
    <xf numFmtId="0" fontId="8" fillId="8" borderId="86"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4" xfId="0" applyFont="1" applyFill="1" applyBorder="1" applyAlignment="1">
      <alignment horizontal="left" vertical="center" wrapText="1"/>
    </xf>
    <xf numFmtId="0" fontId="13" fillId="9" borderId="4" xfId="0" applyFont="1" applyFill="1" applyBorder="1" applyAlignment="1">
      <alignment horizontal="left" vertical="center" wrapText="1"/>
    </xf>
    <xf numFmtId="0" fontId="20" fillId="4" borderId="1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13" fillId="8" borderId="2" xfId="0" applyFont="1" applyFill="1" applyBorder="1" applyAlignment="1">
      <alignment horizontal="justify" vertical="center" wrapText="1"/>
    </xf>
    <xf numFmtId="0" fontId="13" fillId="8" borderId="0" xfId="0" applyFont="1" applyFill="1" applyAlignment="1">
      <alignment horizontal="justify" vertical="center" wrapText="1"/>
    </xf>
    <xf numFmtId="0" fontId="13" fillId="8" borderId="1" xfId="0" applyFont="1" applyFill="1" applyBorder="1" applyAlignment="1">
      <alignment horizontal="justify" vertical="center" wrapText="1"/>
    </xf>
    <xf numFmtId="0" fontId="13" fillId="8" borderId="11" xfId="0" applyFont="1" applyFill="1" applyBorder="1" applyAlignment="1">
      <alignment horizontal="justify" vertical="center" wrapText="1"/>
    </xf>
    <xf numFmtId="0" fontId="13" fillId="8" borderId="12" xfId="0" applyFont="1" applyFill="1" applyBorder="1" applyAlignment="1">
      <alignment horizontal="justify" vertical="center" wrapText="1"/>
    </xf>
    <xf numFmtId="0" fontId="13" fillId="8" borderId="14" xfId="0" applyFont="1" applyFill="1" applyBorder="1" applyAlignment="1">
      <alignment horizontal="justify" vertical="center" wrapText="1"/>
    </xf>
    <xf numFmtId="0" fontId="13" fillId="8" borderId="13" xfId="0" applyFont="1" applyFill="1" applyBorder="1" applyAlignment="1">
      <alignment horizontal="justify" vertical="center" wrapText="1"/>
    </xf>
    <xf numFmtId="0" fontId="13" fillId="8" borderId="5" xfId="0" applyFont="1" applyFill="1" applyBorder="1" applyAlignment="1">
      <alignment horizontal="justify" vertical="center" wrapText="1"/>
    </xf>
    <xf numFmtId="0" fontId="13" fillId="8" borderId="10" xfId="0" applyFont="1" applyFill="1" applyBorder="1" applyAlignment="1">
      <alignment horizontal="justify" vertical="center" wrapText="1"/>
    </xf>
    <xf numFmtId="0" fontId="16" fillId="8" borderId="0" xfId="0" applyFont="1" applyFill="1" applyAlignment="1">
      <alignment horizontal="center" vertical="center" wrapText="1"/>
    </xf>
    <xf numFmtId="0" fontId="60" fillId="15" borderId="2" xfId="0" applyFont="1" applyFill="1" applyBorder="1" applyAlignment="1" applyProtection="1">
      <alignment horizontal="left" vertical="justify" wrapText="1"/>
      <protection locked="0"/>
    </xf>
    <xf numFmtId="0" fontId="59" fillId="15" borderId="0" xfId="0" applyFont="1" applyFill="1" applyAlignment="1" applyProtection="1">
      <alignment horizontal="left" vertical="justify" wrapText="1"/>
      <protection locked="0"/>
    </xf>
    <xf numFmtId="0" fontId="20" fillId="0" borderId="0" xfId="0" applyFont="1" applyAlignment="1">
      <alignment horizontal="left" vertical="top" wrapText="1"/>
    </xf>
    <xf numFmtId="0" fontId="16" fillId="8" borderId="8"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4" fillId="0" borderId="0" xfId="0" applyFont="1" applyAlignment="1">
      <alignment horizontal="left" vertical="center" wrapText="1"/>
    </xf>
    <xf numFmtId="0" fontId="15" fillId="2" borderId="17" xfId="0" quotePrefix="1" applyFont="1" applyFill="1" applyBorder="1" applyAlignment="1">
      <alignment horizontal="center" vertical="center" wrapText="1"/>
    </xf>
    <xf numFmtId="0" fontId="15" fillId="2" borderId="18" xfId="0" quotePrefix="1" applyFont="1" applyFill="1" applyBorder="1" applyAlignment="1">
      <alignment horizontal="center" vertical="center" wrapText="1"/>
    </xf>
    <xf numFmtId="0" fontId="0" fillId="5" borderId="4" xfId="0" applyFill="1" applyBorder="1" applyAlignment="1">
      <alignment horizontal="justify" vertical="center" wrapText="1"/>
    </xf>
    <xf numFmtId="0" fontId="16" fillId="8" borderId="87" xfId="0" applyFont="1" applyFill="1" applyBorder="1" applyAlignment="1">
      <alignment horizontal="center" vertical="center" wrapText="1"/>
    </xf>
    <xf numFmtId="0" fontId="16" fillId="8" borderId="88" xfId="0" applyFont="1" applyFill="1" applyBorder="1" applyAlignment="1">
      <alignment horizontal="center" vertical="center" wrapText="1"/>
    </xf>
    <xf numFmtId="0" fontId="0" fillId="5" borderId="10" xfId="0" applyFill="1" applyBorder="1" applyAlignment="1">
      <alignment horizontal="justify" vertical="center" wrapText="1"/>
    </xf>
    <xf numFmtId="0" fontId="0" fillId="5" borderId="1" xfId="0" applyFill="1" applyBorder="1" applyAlignment="1">
      <alignment horizontal="justify" vertical="center" wrapText="1"/>
    </xf>
    <xf numFmtId="0" fontId="5" fillId="8" borderId="0" xfId="0" quotePrefix="1" applyFont="1" applyFill="1" applyAlignment="1">
      <alignment horizontal="center" vertical="center" wrapText="1"/>
    </xf>
    <xf numFmtId="0" fontId="8" fillId="8" borderId="5" xfId="0" applyFont="1" applyFill="1" applyBorder="1" applyAlignment="1">
      <alignment horizontal="left" vertical="center" wrapText="1"/>
    </xf>
    <xf numFmtId="0" fontId="8" fillId="8" borderId="10" xfId="0" applyFont="1" applyFill="1" applyBorder="1" applyAlignment="1">
      <alignment horizontal="left" vertical="center" wrapText="1"/>
    </xf>
    <xf numFmtId="166" fontId="31" fillId="0" borderId="90" xfId="0" applyNumberFormat="1" applyFont="1" applyBorder="1" applyAlignment="1">
      <alignment horizontal="center" vertical="center" wrapText="1"/>
    </xf>
    <xf numFmtId="166" fontId="31" fillId="0" borderId="61" xfId="0" applyNumberFormat="1" applyFont="1" applyBorder="1" applyAlignment="1">
      <alignment horizontal="center" vertical="center" wrapText="1"/>
    </xf>
    <xf numFmtId="166" fontId="31" fillId="0" borderId="91" xfId="0" applyNumberFormat="1" applyFont="1" applyBorder="1" applyAlignment="1">
      <alignment horizontal="center" vertical="center" wrapText="1"/>
    </xf>
    <xf numFmtId="166" fontId="31" fillId="0" borderId="22" xfId="0" applyNumberFormat="1" applyFont="1" applyBorder="1" applyAlignment="1">
      <alignment horizontal="center" vertical="center" wrapText="1"/>
    </xf>
    <xf numFmtId="166" fontId="31" fillId="0" borderId="92" xfId="0" applyNumberFormat="1" applyFont="1" applyBorder="1" applyAlignment="1">
      <alignment horizontal="center" vertical="center" wrapText="1"/>
    </xf>
    <xf numFmtId="0" fontId="35" fillId="8" borderId="93" xfId="0" applyFont="1" applyFill="1" applyBorder="1" applyAlignment="1">
      <alignment horizontal="center" vertical="center"/>
    </xf>
    <xf numFmtId="0" fontId="35" fillId="8" borderId="61" xfId="0" applyFont="1" applyFill="1" applyBorder="1" applyAlignment="1">
      <alignment horizontal="center" vertical="center"/>
    </xf>
    <xf numFmtId="0" fontId="30" fillId="8" borderId="69" xfId="0" applyFont="1" applyFill="1" applyBorder="1" applyAlignment="1">
      <alignment horizontal="center" vertical="center"/>
    </xf>
    <xf numFmtId="0" fontId="30" fillId="8" borderId="2" xfId="0" applyFont="1" applyFill="1" applyBorder="1" applyAlignment="1">
      <alignment horizontal="center" vertical="center"/>
    </xf>
    <xf numFmtId="0" fontId="32" fillId="4" borderId="19"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32" fillId="4" borderId="21" xfId="0" applyFont="1" applyFill="1" applyBorder="1" applyAlignment="1">
      <alignment horizontal="center" vertical="center" wrapText="1"/>
    </xf>
    <xf numFmtId="0" fontId="35" fillId="8" borderId="89" xfId="0" applyFont="1" applyFill="1" applyBorder="1" applyAlignment="1">
      <alignment horizontal="center" vertical="center" wrapText="1"/>
    </xf>
    <xf numFmtId="0" fontId="35" fillId="8" borderId="59" xfId="0" applyFont="1" applyFill="1" applyBorder="1" applyAlignment="1">
      <alignment horizontal="center" vertical="center" wrapText="1"/>
    </xf>
    <xf numFmtId="0" fontId="36" fillId="10" borderId="4" xfId="0" applyFont="1" applyFill="1" applyBorder="1" applyAlignment="1">
      <alignment horizontal="justify" vertical="center" wrapText="1"/>
    </xf>
    <xf numFmtId="0" fontId="35" fillId="2" borderId="2" xfId="0" applyFont="1" applyFill="1" applyBorder="1" applyAlignment="1">
      <alignment horizontal="center" vertical="center"/>
    </xf>
    <xf numFmtId="0" fontId="35" fillId="2" borderId="0" xfId="0" applyFont="1" applyFill="1" applyAlignment="1">
      <alignment horizontal="center" vertical="center"/>
    </xf>
    <xf numFmtId="0" fontId="4" fillId="0" borderId="79" xfId="0" applyFont="1" applyBorder="1" applyAlignment="1">
      <alignment horizontal="center" vertical="center" wrapText="1"/>
    </xf>
    <xf numFmtId="0" fontId="4" fillId="0" borderId="95" xfId="0" applyFont="1" applyBorder="1" applyAlignment="1">
      <alignment horizontal="center" vertical="center" wrapText="1"/>
    </xf>
    <xf numFmtId="0" fontId="16" fillId="8" borderId="107" xfId="0" applyFont="1" applyFill="1" applyBorder="1" applyAlignment="1">
      <alignment horizontal="center" vertical="center" wrapText="1"/>
    </xf>
    <xf numFmtId="0" fontId="16" fillId="8" borderId="106" xfId="0" applyFont="1" applyFill="1" applyBorder="1" applyAlignment="1">
      <alignment horizontal="center" vertical="center" wrapText="1"/>
    </xf>
    <xf numFmtId="0" fontId="16" fillId="8" borderId="94" xfId="0" applyFont="1" applyFill="1" applyBorder="1" applyAlignment="1" applyProtection="1">
      <alignment horizontal="center" vertical="center" wrapText="1"/>
      <protection locked="0"/>
    </xf>
    <xf numFmtId="0" fontId="16" fillId="8" borderId="74" xfId="0" applyFont="1" applyFill="1" applyBorder="1" applyAlignment="1" applyProtection="1">
      <alignment horizontal="center" vertical="center" wrapText="1"/>
      <protection locked="0"/>
    </xf>
    <xf numFmtId="0" fontId="16" fillId="8" borderId="105" xfId="0" applyFont="1" applyFill="1" applyBorder="1" applyAlignment="1">
      <alignment horizontal="center" vertical="center" wrapText="1"/>
    </xf>
    <xf numFmtId="0" fontId="16" fillId="8" borderId="113" xfId="0" applyFont="1" applyFill="1" applyBorder="1" applyAlignment="1">
      <alignment horizontal="center" vertical="center" wrapText="1"/>
    </xf>
    <xf numFmtId="0" fontId="16" fillId="8" borderId="114" xfId="0" applyFont="1" applyFill="1" applyBorder="1" applyAlignment="1">
      <alignment horizontal="center" vertical="center" wrapText="1"/>
    </xf>
    <xf numFmtId="0" fontId="16" fillId="8" borderId="72" xfId="0" applyFont="1" applyFill="1" applyBorder="1" applyAlignment="1">
      <alignment horizontal="left" vertical="center" wrapText="1"/>
    </xf>
    <xf numFmtId="0" fontId="16" fillId="8" borderId="83" xfId="0" applyFont="1" applyFill="1" applyBorder="1" applyAlignment="1">
      <alignment horizontal="left" vertical="center" wrapText="1"/>
    </xf>
    <xf numFmtId="0" fontId="16" fillId="8" borderId="96" xfId="0" applyFont="1" applyFill="1" applyBorder="1" applyAlignment="1">
      <alignment horizontal="left" vertical="center" wrapText="1"/>
    </xf>
    <xf numFmtId="0" fontId="8" fillId="8" borderId="108" xfId="0" applyFont="1" applyFill="1" applyBorder="1" applyAlignment="1">
      <alignment horizontal="center" vertical="center"/>
    </xf>
    <xf numFmtId="0" fontId="8" fillId="8" borderId="0" xfId="0" applyFont="1" applyFill="1" applyAlignment="1">
      <alignment horizontal="center" vertical="center"/>
    </xf>
    <xf numFmtId="0" fontId="16" fillId="8" borderId="116" xfId="0" applyFont="1" applyFill="1" applyBorder="1" applyAlignment="1">
      <alignment horizontal="center" vertical="center" textRotation="90"/>
    </xf>
    <xf numFmtId="0" fontId="16" fillId="8" borderId="117" xfId="0" applyFont="1" applyFill="1" applyBorder="1" applyAlignment="1">
      <alignment horizontal="center" vertical="center" textRotation="90"/>
    </xf>
    <xf numFmtId="0" fontId="15"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4" fillId="0" borderId="99" xfId="0" applyFont="1" applyBorder="1" applyAlignment="1">
      <alignment horizontal="justify" vertical="center" wrapText="1"/>
    </xf>
    <xf numFmtId="0" fontId="4" fillId="0" borderId="100" xfId="0" applyFont="1" applyBorder="1" applyAlignment="1">
      <alignment horizontal="justify" vertical="center" wrapText="1"/>
    </xf>
    <xf numFmtId="0" fontId="4" fillId="0" borderId="101" xfId="0" applyFont="1" applyBorder="1" applyAlignment="1">
      <alignment horizontal="justify" vertical="center" wrapText="1"/>
    </xf>
    <xf numFmtId="0" fontId="16" fillId="8" borderId="112" xfId="0" applyFont="1" applyFill="1" applyBorder="1" applyAlignment="1">
      <alignment horizontal="center" vertical="center" wrapText="1"/>
    </xf>
    <xf numFmtId="0" fontId="16" fillId="8" borderId="94" xfId="0" applyFont="1" applyFill="1" applyBorder="1" applyAlignment="1">
      <alignment horizontal="center" vertical="center" wrapText="1"/>
    </xf>
    <xf numFmtId="0" fontId="16" fillId="8" borderId="104" xfId="0" applyFont="1" applyFill="1" applyBorder="1" applyAlignment="1">
      <alignment horizontal="center" vertical="center" wrapText="1"/>
    </xf>
    <xf numFmtId="0" fontId="16" fillId="8" borderId="79" xfId="0" applyFont="1" applyFill="1" applyBorder="1" applyAlignment="1">
      <alignment horizontal="left" vertical="center" wrapText="1"/>
    </xf>
    <xf numFmtId="166" fontId="37" fillId="0" borderId="0" xfId="0" applyNumberFormat="1" applyFont="1" applyAlignment="1">
      <alignment horizontal="center" vertical="center" wrapText="1"/>
    </xf>
    <xf numFmtId="0" fontId="33" fillId="0" borderId="0" xfId="0" applyFont="1" applyAlignment="1">
      <alignment horizontal="center" vertical="center"/>
    </xf>
    <xf numFmtId="0" fontId="35" fillId="8" borderId="20" xfId="0" applyFont="1" applyFill="1" applyBorder="1" applyAlignment="1">
      <alignment horizontal="center" vertical="center" wrapText="1"/>
    </xf>
    <xf numFmtId="0" fontId="35" fillId="8" borderId="125" xfId="0" applyFont="1" applyFill="1" applyBorder="1" applyAlignment="1">
      <alignment horizontal="center" vertical="center" wrapText="1"/>
    </xf>
    <xf numFmtId="0" fontId="35" fillId="8" borderId="4" xfId="0" applyFont="1" applyFill="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35" fillId="8" borderId="21" xfId="0" applyFont="1" applyFill="1" applyBorder="1" applyAlignment="1">
      <alignment horizontal="center" vertical="center" wrapText="1"/>
    </xf>
    <xf numFmtId="0" fontId="35" fillId="8" borderId="19" xfId="0" applyFont="1" applyFill="1" applyBorder="1" applyAlignment="1">
      <alignment horizontal="center" vertical="center" wrapText="1"/>
    </xf>
    <xf numFmtId="0" fontId="35" fillId="8" borderId="124" xfId="0" applyFont="1" applyFill="1" applyBorder="1" applyAlignment="1">
      <alignment horizontal="center" vertical="center" wrapText="1"/>
    </xf>
    <xf numFmtId="0" fontId="35" fillId="8" borderId="18" xfId="0" applyFont="1" applyFill="1" applyBorder="1" applyAlignment="1">
      <alignment horizontal="center" vertical="center" wrapText="1"/>
    </xf>
    <xf numFmtId="0" fontId="35" fillId="8" borderId="18" xfId="0" applyFont="1" applyFill="1" applyBorder="1" applyAlignment="1">
      <alignment horizontal="left" vertical="center" wrapText="1"/>
    </xf>
    <xf numFmtId="0" fontId="35" fillId="8" borderId="4" xfId="0" applyFont="1" applyFill="1" applyBorder="1" applyAlignment="1">
      <alignment horizontal="left" vertical="center" wrapText="1"/>
    </xf>
    <xf numFmtId="0" fontId="35" fillId="8" borderId="130" xfId="0" applyFont="1" applyFill="1" applyBorder="1" applyAlignment="1">
      <alignment horizontal="center" vertical="center" wrapText="1"/>
    </xf>
    <xf numFmtId="0" fontId="35" fillId="8" borderId="132" xfId="0" applyFont="1" applyFill="1" applyBorder="1" applyAlignment="1">
      <alignment horizontal="center" vertical="center" textRotation="90"/>
    </xf>
    <xf numFmtId="0" fontId="35" fillId="8" borderId="122" xfId="0" applyFont="1" applyFill="1" applyBorder="1" applyAlignment="1">
      <alignment horizontal="center" vertical="center" textRotation="90"/>
    </xf>
    <xf numFmtId="0" fontId="35" fillId="8" borderId="124" xfId="0" applyFont="1" applyFill="1" applyBorder="1" applyAlignment="1">
      <alignment horizontal="center" vertical="center" textRotation="90"/>
    </xf>
    <xf numFmtId="0" fontId="49" fillId="8" borderId="108" xfId="0" applyFont="1" applyFill="1" applyBorder="1" applyAlignment="1">
      <alignment horizontal="center" vertical="center"/>
    </xf>
    <xf numFmtId="0" fontId="49" fillId="8" borderId="0" xfId="0" applyFont="1" applyFill="1" applyAlignment="1">
      <alignment horizontal="center" vertical="center"/>
    </xf>
    <xf numFmtId="0" fontId="49" fillId="8" borderId="118" xfId="0" applyFont="1" applyFill="1" applyBorder="1" applyAlignment="1">
      <alignment horizontal="center" vertical="center"/>
    </xf>
    <xf numFmtId="0" fontId="32" fillId="0" borderId="119" xfId="0" applyFont="1" applyBorder="1" applyAlignment="1">
      <alignment horizontal="center" vertical="center" wrapText="1"/>
    </xf>
    <xf numFmtId="0" fontId="32" fillId="0" borderId="120" xfId="0" applyFont="1" applyBorder="1" applyAlignment="1">
      <alignment horizontal="center" vertical="center" wrapText="1"/>
    </xf>
    <xf numFmtId="0" fontId="37" fillId="0" borderId="10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21" xfId="0" applyFont="1" applyBorder="1" applyAlignment="1">
      <alignment horizontal="center" vertical="center" wrapText="1"/>
    </xf>
    <xf numFmtId="0" fontId="35" fillId="8" borderId="125" xfId="0" applyFont="1" applyFill="1" applyBorder="1" applyAlignment="1">
      <alignment horizontal="left" vertical="center" wrapText="1"/>
    </xf>
    <xf numFmtId="0" fontId="37" fillId="10" borderId="4" xfId="0" applyFont="1" applyFill="1" applyBorder="1" applyAlignment="1">
      <alignment horizontal="center" vertical="center" textRotation="255"/>
    </xf>
    <xf numFmtId="0" fontId="55" fillId="10" borderId="11" xfId="0" applyFont="1" applyFill="1" applyBorder="1" applyAlignment="1">
      <alignment horizontal="left" vertical="center" wrapText="1"/>
    </xf>
    <xf numFmtId="0" fontId="55" fillId="10" borderId="12" xfId="0" applyFont="1" applyFill="1" applyBorder="1" applyAlignment="1">
      <alignment horizontal="left" vertical="center" wrapText="1"/>
    </xf>
    <xf numFmtId="0" fontId="8" fillId="8" borderId="0" xfId="0" applyFont="1" applyFill="1" applyAlignment="1">
      <alignment horizontal="center" vertical="center" wrapText="1"/>
    </xf>
    <xf numFmtId="166" fontId="10" fillId="0" borderId="0" xfId="0" applyNumberFormat="1" applyFont="1" applyAlignment="1">
      <alignment horizontal="center" vertical="center" wrapText="1"/>
    </xf>
    <xf numFmtId="0" fontId="10" fillId="0" borderId="79" xfId="0" applyFont="1" applyBorder="1" applyAlignment="1">
      <alignment horizontal="center" vertical="center" wrapText="1"/>
    </xf>
    <xf numFmtId="0" fontId="10" fillId="0" borderId="95" xfId="0" applyFont="1" applyBorder="1" applyAlignment="1">
      <alignment horizontal="center" vertical="center" wrapText="1"/>
    </xf>
    <xf numFmtId="0" fontId="9" fillId="8" borderId="77" xfId="0" applyFont="1" applyFill="1" applyBorder="1" applyAlignment="1">
      <alignment horizontal="center" vertical="center" wrapText="1"/>
    </xf>
    <xf numFmtId="0" fontId="9" fillId="8" borderId="70" xfId="0" applyFont="1" applyFill="1" applyBorder="1" applyAlignment="1">
      <alignment horizontal="center" vertical="center" wrapText="1"/>
    </xf>
    <xf numFmtId="0" fontId="9" fillId="8" borderId="104" xfId="0" applyFont="1" applyFill="1" applyBorder="1" applyAlignment="1">
      <alignment horizontal="center" vertical="center" wrapText="1"/>
    </xf>
    <xf numFmtId="0" fontId="9" fillId="8" borderId="105" xfId="0" applyFont="1" applyFill="1" applyBorder="1" applyAlignment="1">
      <alignment horizontal="center" vertical="center" wrapText="1"/>
    </xf>
    <xf numFmtId="0" fontId="9" fillId="8" borderId="79" xfId="0" applyFont="1" applyFill="1" applyBorder="1" applyAlignment="1">
      <alignment horizontal="left" vertical="center" wrapText="1"/>
    </xf>
    <xf numFmtId="0" fontId="9" fillId="8" borderId="72"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7" borderId="7" xfId="0" applyFont="1" applyFill="1" applyBorder="1" applyAlignment="1">
      <alignment horizontal="left" vertical="center" wrapText="1"/>
    </xf>
    <xf numFmtId="0" fontId="8" fillId="8" borderId="72" xfId="0" applyFont="1" applyFill="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53" fillId="0" borderId="96" xfId="0" applyFont="1" applyBorder="1" applyAlignment="1">
      <alignment horizontal="justify" vertical="center" wrapText="1"/>
    </xf>
    <xf numFmtId="0" fontId="53" fillId="0" borderId="99" xfId="0" applyFont="1" applyBorder="1" applyAlignment="1">
      <alignment horizontal="justify" vertical="center" wrapText="1"/>
    </xf>
    <xf numFmtId="0" fontId="9" fillId="8" borderId="15"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9" fillId="8" borderId="98" xfId="0" applyFont="1" applyFill="1" applyBorder="1" applyAlignment="1">
      <alignment horizontal="center" vertical="center" wrapText="1"/>
    </xf>
    <xf numFmtId="0" fontId="9" fillId="8" borderId="102" xfId="0" applyFont="1" applyFill="1" applyBorder="1" applyAlignment="1">
      <alignment horizontal="center" vertical="center" wrapText="1"/>
    </xf>
    <xf numFmtId="0" fontId="9" fillId="8" borderId="103" xfId="0" applyFont="1" applyFill="1" applyBorder="1" applyAlignment="1">
      <alignment horizontal="center" vertical="center" wrapText="1"/>
    </xf>
    <xf numFmtId="0" fontId="9" fillId="8" borderId="81" xfId="0" applyFont="1" applyFill="1" applyBorder="1" applyAlignment="1">
      <alignment horizontal="center" vertical="center" wrapText="1"/>
    </xf>
    <xf numFmtId="0" fontId="9" fillId="8" borderId="82" xfId="0" applyFont="1" applyFill="1" applyBorder="1" applyAlignment="1">
      <alignment horizontal="center" vertical="center" wrapText="1"/>
    </xf>
    <xf numFmtId="0" fontId="9" fillId="8" borderId="97" xfId="0" applyFont="1" applyFill="1" applyBorder="1" applyAlignment="1">
      <alignment horizontal="center" vertical="center" wrapText="1"/>
    </xf>
    <xf numFmtId="0" fontId="9" fillId="8" borderId="83" xfId="0" applyFont="1" applyFill="1" applyBorder="1" applyAlignment="1">
      <alignment horizontal="left" vertical="center" wrapText="1"/>
    </xf>
    <xf numFmtId="0" fontId="9" fillId="8" borderId="96" xfId="0" applyFont="1" applyFill="1" applyBorder="1" applyAlignment="1">
      <alignment horizontal="left" vertical="center" wrapText="1"/>
    </xf>
    <xf numFmtId="0" fontId="9" fillId="7" borderId="4"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2" fillId="13" borderId="4" xfId="0" applyFont="1" applyFill="1" applyBorder="1" applyAlignment="1">
      <alignment horizontal="center" vertical="center"/>
    </xf>
    <xf numFmtId="0" fontId="12" fillId="13" borderId="8" xfId="0" applyFont="1" applyFill="1" applyBorder="1" applyAlignment="1">
      <alignment horizontal="center" vertical="center"/>
    </xf>
    <xf numFmtId="0" fontId="12" fillId="13" borderId="7" xfId="0" applyFont="1" applyFill="1" applyBorder="1" applyAlignment="1">
      <alignment horizontal="center" vertical="center"/>
    </xf>
  </cellXfs>
  <cellStyles count="9">
    <cellStyle name="Estilo 1" xfId="1" xr:uid="{00000000-0005-0000-0000-000000000000}"/>
    <cellStyle name="Millares" xfId="2" builtinId="3"/>
    <cellStyle name="Millares [0]" xfId="3" builtinId="6"/>
    <cellStyle name="Millares 2" xfId="4" xr:uid="{00000000-0005-0000-0000-000003000000}"/>
    <cellStyle name="Moneda" xfId="5" builtinId="4"/>
    <cellStyle name="Moneda [0]" xfId="6" builtinId="7"/>
    <cellStyle name="Moneda 2" xfId="7" xr:uid="{00000000-0005-0000-0000-000006000000}"/>
    <cellStyle name="Normal" xfId="0" builtinId="0"/>
    <cellStyle name="Porcentaje" xfId="8" builtinId="5"/>
  </cellStyles>
  <dxfs count="95">
    <dxf>
      <font>
        <b/>
        <i val="0"/>
        <color auto="1"/>
        <name val="Cambria"/>
        <scheme val="none"/>
      </font>
      <fill>
        <patternFill>
          <bgColor theme="0" tint="-0.14996795556505021"/>
        </patternFill>
      </fill>
    </dxf>
    <dxf>
      <font>
        <color rgb="FFFFFF00"/>
      </font>
      <fill>
        <patternFill>
          <fgColor rgb="FFFF0000"/>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rgb="FFFF0000"/>
        </patternFill>
      </fill>
    </dxf>
    <dxf>
      <font>
        <b/>
        <i val="0"/>
        <color auto="1"/>
        <name val="Cambria"/>
        <scheme val="none"/>
      </font>
      <fill>
        <patternFill patternType="solid">
          <fgColor indexed="64"/>
          <bgColor rgb="FFFF0000"/>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name val="Cambria"/>
        <scheme val="none"/>
      </font>
      <fill>
        <patternFill patternType="solid">
          <fgColor indexed="64"/>
          <bgColor rgb="FFFF0000"/>
        </patternFill>
      </fill>
      <border>
        <left style="thin">
          <color indexed="64"/>
        </left>
        <right style="thin">
          <color indexed="64"/>
        </right>
        <top style="thin">
          <color indexed="64"/>
        </top>
        <bottom style="thin">
          <color indexed="64"/>
        </bottom>
      </border>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color rgb="FFFFFF00"/>
      </font>
      <fill>
        <patternFill>
          <bgColor rgb="FFFF0000"/>
        </patternFill>
      </fill>
    </dxf>
    <dxf>
      <font>
        <color rgb="FFFFFF00"/>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theme="0" tint="-0.14996795556505021"/>
        </patternFill>
      </fill>
    </dxf>
    <dxf>
      <font>
        <color rgb="FFFFFF00"/>
      </font>
      <fill>
        <patternFill>
          <fgColor rgb="FFFF0000"/>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92D050"/>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name val="Cambria"/>
        <scheme val="none"/>
      </font>
      <fill>
        <patternFill patternType="solid">
          <fgColor indexed="64"/>
          <bgColor rgb="FFFF0000"/>
        </patternFill>
      </fill>
      <border>
        <left style="thin">
          <color indexed="64"/>
        </left>
        <right style="thin">
          <color indexed="64"/>
        </right>
        <top style="thin">
          <color indexed="64"/>
        </top>
        <bottom style="thin">
          <color indexed="64"/>
        </bottom>
      </border>
    </dxf>
    <dxf>
      <font>
        <b/>
        <i val="0"/>
        <color auto="1"/>
        <name val="Cambria"/>
        <scheme val="none"/>
      </font>
      <fill>
        <patternFill>
          <bgColor rgb="FFFF0000"/>
        </patternFill>
      </fill>
    </dxf>
    <dxf>
      <font>
        <color rgb="FFFFFF00"/>
      </font>
      <fill>
        <patternFill>
          <bgColor rgb="FFFF0000"/>
        </patternFill>
      </fill>
    </dxf>
    <dxf>
      <font>
        <color rgb="FFFFFF00"/>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font>
      <fill>
        <patternFill>
          <bgColor rgb="FFFF0000"/>
        </patternFill>
      </fill>
    </dxf>
    <dxf>
      <font>
        <b/>
        <i val="0"/>
        <color auto="1"/>
        <name val="Cambria"/>
        <scheme val="none"/>
      </font>
      <fill>
        <patternFill>
          <bgColor theme="0" tint="-0.14996795556505021"/>
        </patternFill>
      </fill>
    </dxf>
    <dxf>
      <font>
        <color rgb="FFFFFF00"/>
      </font>
      <fill>
        <patternFill>
          <fgColor rgb="FFFF0000"/>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font>
      <fill>
        <patternFill>
          <bgColor rgb="FFFF2D2D"/>
        </patternFill>
      </fill>
    </dxf>
    <dxf>
      <font>
        <b/>
        <i val="0"/>
        <color auto="1"/>
      </font>
      <fill>
        <patternFill>
          <bgColor rgb="FFFF2D2D"/>
        </patternFill>
      </fill>
    </dxf>
    <dxf>
      <font>
        <b/>
        <i val="0"/>
        <color auto="1"/>
      </font>
      <fill>
        <patternFill>
          <bgColor rgb="FFFF2D2D"/>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rgb="FF9C0006"/>
      </font>
      <fill>
        <patternFill>
          <bgColor rgb="FFFFC7CE"/>
        </patternFill>
      </fill>
    </dxf>
    <dxf>
      <font>
        <color rgb="FF9C0006"/>
      </font>
      <fill>
        <patternFill>
          <bgColor rgb="FFFFC7CE"/>
        </patternFill>
      </fill>
    </dxf>
    <dxf>
      <font>
        <b/>
        <i val="0"/>
        <color auto="1"/>
      </font>
      <fill>
        <patternFill>
          <bgColor rgb="FFFF0000"/>
        </patternFill>
      </fill>
    </dxf>
    <dxf>
      <font>
        <b/>
        <i val="0"/>
        <color auto="1"/>
      </font>
      <fill>
        <patternFill>
          <bgColor rgb="FF92D050"/>
        </patternFill>
      </fill>
    </dxf>
    <dxf>
      <font>
        <color rgb="FFC00000"/>
      </font>
      <fill>
        <patternFill patternType="solid">
          <bgColor theme="4" tint="0.79998168889431442"/>
        </patternFill>
      </fill>
    </dxf>
    <dxf>
      <font>
        <b/>
        <i val="0"/>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FF0000"/>
        </patternFill>
      </fill>
    </dxf>
    <dxf>
      <font>
        <b/>
        <i val="0"/>
        <color auto="1"/>
      </font>
      <fill>
        <patternFill>
          <bgColor rgb="FFFF0000"/>
        </patternFill>
      </fill>
    </dxf>
    <dxf>
      <font>
        <b/>
        <i val="0"/>
        <color auto="1"/>
      </font>
      <fill>
        <patternFill>
          <bgColor rgb="FF92D050"/>
        </patternFill>
      </fill>
    </dxf>
    <dxf>
      <fill>
        <patternFill>
          <bgColor rgb="FF92D050"/>
        </patternFill>
      </fill>
    </dxf>
    <dxf>
      <fill>
        <patternFill>
          <bgColor rgb="FFFFFF00"/>
        </patternFill>
      </fill>
      <border>
        <left style="thin">
          <color indexed="64"/>
        </left>
        <right style="thin">
          <color indexed="64"/>
        </right>
        <top style="thin">
          <color indexed="64"/>
        </top>
        <bottom style="thin">
          <color indexed="64"/>
        </bottom>
      </border>
    </dxf>
    <dxf>
      <font>
        <color theme="0"/>
      </font>
      <fill>
        <patternFill>
          <bgColor theme="0"/>
        </patternFill>
      </fill>
    </dxf>
    <dxf>
      <font>
        <b/>
        <i val="0"/>
        <color auto="1"/>
      </font>
      <fill>
        <patternFill>
          <bgColor rgb="FF92D050"/>
        </patternFill>
      </fill>
    </dxf>
    <dxf>
      <font>
        <b/>
        <i val="0"/>
        <color auto="1"/>
      </font>
      <fill>
        <patternFill>
          <bgColor rgb="FFFF0000"/>
        </patternFill>
      </fill>
    </dxf>
    <dxf>
      <font>
        <b/>
        <i val="0"/>
        <color auto="1"/>
      </font>
      <fill>
        <patternFill>
          <bgColor rgb="FF92D050"/>
        </patternFill>
      </fill>
    </dxf>
    <dxf>
      <font>
        <b/>
        <i val="0"/>
        <color auto="1"/>
      </font>
      <fill>
        <patternFill>
          <bgColor rgb="FFFF0000"/>
        </patternFill>
      </fill>
    </dxf>
    <dxf>
      <font>
        <b/>
        <i val="0"/>
        <color auto="1"/>
      </font>
      <fill>
        <patternFill>
          <bgColor rgb="FFFFC000"/>
        </patternFill>
      </fill>
    </dxf>
    <dxf>
      <font>
        <b/>
        <i val="0"/>
        <color auto="1"/>
      </font>
      <fill>
        <patternFill>
          <bgColor rgb="FFFF0000"/>
        </patternFill>
      </fill>
    </dxf>
    <dxf>
      <font>
        <b/>
        <i val="0"/>
        <color auto="1"/>
      </font>
      <fill>
        <patternFill>
          <bgColor rgb="FF92D050"/>
        </patternFill>
      </fill>
    </dxf>
    <dxf>
      <font>
        <color theme="4" tint="0.79998168889431442"/>
      </font>
      <fill>
        <patternFill>
          <bgColor theme="4" tint="0.79998168889431442"/>
        </patternFill>
      </fill>
      <border>
        <left style="thin">
          <color indexed="64"/>
        </left>
        <right style="thin">
          <color indexed="64"/>
        </right>
        <top style="thin">
          <color indexed="64"/>
        </top>
        <bottom style="thin">
          <color indexed="64"/>
        </bottom>
      </border>
    </dxf>
    <dxf>
      <font>
        <color theme="0"/>
      </font>
    </dxf>
    <dxf>
      <font>
        <color theme="0"/>
      </font>
      <fill>
        <patternFill>
          <bgColor theme="3" tint="-0.24994659260841701"/>
        </patternFill>
      </fill>
    </dxf>
    <dxf>
      <font>
        <color theme="3" tint="-0.24994659260841701"/>
      </font>
      <fill>
        <patternFill>
          <bgColor theme="3" tint="-0.24994659260841701"/>
        </patternFill>
      </fill>
    </dxf>
    <dxf>
      <font>
        <color theme="4" tint="-0.499984740745262"/>
      </font>
      <fill>
        <patternFill>
          <bgColor theme="3" tint="-0.24994659260841701"/>
        </patternFill>
      </fill>
    </dxf>
    <dxf>
      <font>
        <color auto="1"/>
      </font>
      <fill>
        <patternFill>
          <bgColor theme="4" tint="0.79998168889431442"/>
        </patternFill>
      </fill>
      <border>
        <left style="thin">
          <color indexed="64"/>
        </left>
        <right style="thin">
          <color indexed="64"/>
        </right>
        <top style="thin">
          <color indexed="64"/>
        </top>
        <bottom style="thin">
          <color indexed="64"/>
        </bottom>
      </border>
    </dxf>
    <dxf>
      <font>
        <color theme="0"/>
      </font>
      <fill>
        <patternFill>
          <bgColor theme="0"/>
        </patternFill>
      </fill>
      <border>
        <left style="thin">
          <color theme="3" tint="-0.24994659260841701"/>
        </left>
        <right style="thin">
          <color theme="3" tint="-0.24994659260841701"/>
        </right>
        <top style="thin">
          <color theme="3" tint="-0.24994659260841701"/>
        </top>
        <bottom style="thin">
          <color theme="3" tint="-0.24994659260841701"/>
        </bottom>
      </border>
    </dxf>
    <dxf>
      <font>
        <color theme="0"/>
      </font>
    </dxf>
    <dxf>
      <font>
        <b val="0"/>
        <i val="0"/>
        <color theme="0"/>
      </font>
    </dxf>
    <dxf>
      <font>
        <color auto="1"/>
      </font>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border>
    </dxf>
  </dxfs>
  <tableStyles count="0" defaultTableStyle="TableStyleMedium2" defaultPivotStyle="PivotStyleLight16"/>
  <colors>
    <mruColors>
      <color rgb="FFFF2D2D"/>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5663987</xdr:colOff>
      <xdr:row>6</xdr:row>
      <xdr:rowOff>79401</xdr:rowOff>
    </xdr:from>
    <xdr:to>
      <xdr:col>1</xdr:col>
      <xdr:colOff>6347624</xdr:colOff>
      <xdr:row>6</xdr:row>
      <xdr:rowOff>241827</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5768530" y="3076291"/>
          <a:ext cx="683637" cy="162426"/>
        </a:xfrm>
        <a:prstGeom prst="rect">
          <a:avLst/>
        </a:prstGeom>
        <a:solidFill>
          <a:schemeClr val="tx2">
            <a:lumMod val="20000"/>
            <a:lumOff val="80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s-CL"/>
        </a:p>
      </xdr:txBody>
    </xdr:sp>
    <xdr:clientData/>
  </xdr:twoCellAnchor>
  <xdr:twoCellAnchor>
    <xdr:from>
      <xdr:col>1</xdr:col>
      <xdr:colOff>5641898</xdr:colOff>
      <xdr:row>6</xdr:row>
      <xdr:rowOff>42333</xdr:rowOff>
    </xdr:from>
    <xdr:to>
      <xdr:col>1</xdr:col>
      <xdr:colOff>6391080</xdr:colOff>
      <xdr:row>7</xdr:row>
      <xdr:rowOff>76200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5746441" y="3039223"/>
          <a:ext cx="749182" cy="34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42386</xdr:colOff>
      <xdr:row>8</xdr:row>
      <xdr:rowOff>85726</xdr:rowOff>
    </xdr:from>
    <xdr:to>
      <xdr:col>9</xdr:col>
      <xdr:colOff>762954</xdr:colOff>
      <xdr:row>10</xdr:row>
      <xdr:rowOff>38100</xdr:rowOff>
    </xdr:to>
    <xdr:sp macro="" textlink="">
      <xdr:nvSpPr>
        <xdr:cNvPr id="2" name="1 Flecha izquierda">
          <a:extLst>
            <a:ext uri="{FF2B5EF4-FFF2-40B4-BE49-F238E27FC236}">
              <a16:creationId xmlns:a16="http://schemas.microsoft.com/office/drawing/2014/main" id="{00000000-0008-0000-0200-000002000000}"/>
            </a:ext>
          </a:extLst>
        </xdr:cNvPr>
        <xdr:cNvSpPr/>
      </xdr:nvSpPr>
      <xdr:spPr>
        <a:xfrm>
          <a:off x="12977336" y="542926"/>
          <a:ext cx="720568" cy="1019174"/>
        </a:xfrm>
        <a:prstGeom prst="leftArrow">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L"/>
        </a:p>
      </xdr:txBody>
    </xdr:sp>
    <xdr:clientData/>
  </xdr:twoCellAnchor>
  <xdr:twoCellAnchor>
    <xdr:from>
      <xdr:col>9</xdr:col>
      <xdr:colOff>42862</xdr:colOff>
      <xdr:row>18</xdr:row>
      <xdr:rowOff>0</xdr:rowOff>
    </xdr:from>
    <xdr:to>
      <xdr:col>9</xdr:col>
      <xdr:colOff>754447</xdr:colOff>
      <xdr:row>20</xdr:row>
      <xdr:rowOff>0</xdr:rowOff>
    </xdr:to>
    <xdr:sp macro="" textlink="">
      <xdr:nvSpPr>
        <xdr:cNvPr id="5" name="1 Flecha izquierda">
          <a:extLst>
            <a:ext uri="{FF2B5EF4-FFF2-40B4-BE49-F238E27FC236}">
              <a16:creationId xmlns:a16="http://schemas.microsoft.com/office/drawing/2014/main" id="{00000000-0008-0000-0200-000005000000}"/>
            </a:ext>
          </a:extLst>
        </xdr:cNvPr>
        <xdr:cNvSpPr/>
      </xdr:nvSpPr>
      <xdr:spPr>
        <a:xfrm>
          <a:off x="11863387" y="2744628"/>
          <a:ext cx="708010" cy="712947"/>
        </a:xfrm>
        <a:prstGeom prst="leftArrow">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L"/>
        </a:p>
      </xdr:txBody>
    </xdr:sp>
    <xdr:clientData/>
  </xdr:twoCellAnchor>
  <xdr:twoCellAnchor>
    <xdr:from>
      <xdr:col>9</xdr:col>
      <xdr:colOff>80487</xdr:colOff>
      <xdr:row>24</xdr:row>
      <xdr:rowOff>0</xdr:rowOff>
    </xdr:from>
    <xdr:to>
      <xdr:col>9</xdr:col>
      <xdr:colOff>824734</xdr:colOff>
      <xdr:row>25</xdr:row>
      <xdr:rowOff>57150</xdr:rowOff>
    </xdr:to>
    <xdr:sp macro="" textlink="">
      <xdr:nvSpPr>
        <xdr:cNvPr id="6" name="1 Flecha izquierda">
          <a:extLst>
            <a:ext uri="{FF2B5EF4-FFF2-40B4-BE49-F238E27FC236}">
              <a16:creationId xmlns:a16="http://schemas.microsoft.com/office/drawing/2014/main" id="{00000000-0008-0000-0200-000006000000}"/>
            </a:ext>
          </a:extLst>
        </xdr:cNvPr>
        <xdr:cNvSpPr/>
      </xdr:nvSpPr>
      <xdr:spPr>
        <a:xfrm>
          <a:off x="13015437" y="4943475"/>
          <a:ext cx="744247" cy="876300"/>
        </a:xfrm>
        <a:prstGeom prst="leftArrow">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L"/>
        </a:p>
      </xdr:txBody>
    </xdr:sp>
    <xdr:clientData/>
  </xdr:twoCellAnchor>
</xdr:wsDr>
</file>

<file path=xl/persons/person.xml><?xml version="1.0" encoding="utf-8"?>
<personList xmlns="http://schemas.microsoft.com/office/spreadsheetml/2018/threadedcomments" xmlns:x="http://schemas.openxmlformats.org/spreadsheetml/2006/main">
  <person displayName="Roxany Barahona Ligueno" id="{0E565CD3-EF5C-43B9-AE1B-86B93D14D275}" userId="S::rbarahona@anid.cl::cc50f002-2f9b-4816-8a39-ce483614177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dk1"/>
        </a:lnRef>
        <a:fillRef idx="0">
          <a:schemeClr val="dk1"/>
        </a:fillRef>
        <a:effectRef idx="0">
          <a:schemeClr val="dk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 dT="2025-01-28T13:12:04.69" personId="{0E565CD3-EF5C-43B9-AE1B-86B93D14D275}" id="{FFB68F36-F801-4D62-A82B-9C0B1F300FD0}">
    <text>Monto ingresado en Hoja DETALLE APORTES.-</text>
  </threadedComment>
  <threadedComment ref="F8" dT="2025-01-28T13:12:04.69" personId="{0E565CD3-EF5C-43B9-AE1B-86B93D14D275}" id="{CFDC694D-FA57-41CD-AA91-C158D61D1085}">
    <text>Monto ingresado en Hoja DETALLE APORTES.-</text>
  </threadedComment>
  <threadedComment ref="F9" dT="2025-01-28T13:12:04.69" personId="{0E565CD3-EF5C-43B9-AE1B-86B93D14D275}" id="{DA2FA778-9F02-478B-9398-9F5AF62309E9}">
    <text>Monto ingresado en Hoja DETALLE APORTES.-</text>
  </threadedComment>
  <threadedComment ref="F10" dT="2025-01-28T13:12:04.69" personId="{0E565CD3-EF5C-43B9-AE1B-86B93D14D275}" id="{9F9A4B31-DF57-43F2-9A9F-55A776BFBC64}">
    <text>Monto ingresado en Hoja DETALLE APORTES.-</text>
  </threadedComment>
  <threadedComment ref="G10" dT="2025-01-28T13:12:04.69" personId="{0E565CD3-EF5C-43B9-AE1B-86B93D14D275}" id="{7A06E5D3-48F6-446D-A1B4-7DE04DC08036}">
    <text>Monto ingresado en Hoja DETALLE APORTES.-</text>
  </threadedComment>
  <threadedComment ref="F11" dT="2025-01-28T13:12:04.69" personId="{0E565CD3-EF5C-43B9-AE1B-86B93D14D275}" id="{9483710B-9EE6-41CE-9717-E36BA4C884F8}">
    <text>Monto ingresado en Hoja DETALLE APORTES.-</text>
  </threadedComment>
  <threadedComment ref="G11" dT="2025-01-28T13:12:04.69" personId="{0E565CD3-EF5C-43B9-AE1B-86B93D14D275}" id="{1E335CB1-C5DF-404D-8E85-A58A1F765AB5}">
    <text>Monto ingresado en Hoja DETALLE APORTES.-</text>
  </threadedComment>
  <threadedComment ref="F12" dT="2025-01-28T13:12:04.69" personId="{0E565CD3-EF5C-43B9-AE1B-86B93D14D275}" id="{AD5171CA-A9F3-421A-AF7D-7E3829B178DB}">
    <text>Monto ingresado en Hoja DETALLE APORTES.-</text>
  </threadedComment>
  <threadedComment ref="G12" dT="2025-01-28T13:12:04.69" personId="{0E565CD3-EF5C-43B9-AE1B-86B93D14D275}" id="{4BC0FAC7-1A11-47F4-86E4-C85204E60A11}">
    <text>Monto ingresado en Hoja DETALLE APORTES.-</text>
  </threadedComment>
  <threadedComment ref="F14" dT="2025-01-28T13:12:04.69" personId="{0E565CD3-EF5C-43B9-AE1B-86B93D14D275}" id="{96ECC16E-219F-49E8-9894-BEBA0192A11B}">
    <text>Monto ingresado en Hoja DETALLE APORTES.-</text>
  </threadedComment>
  <threadedComment ref="G14" dT="2025-01-28T13:12:04.69" personId="{0E565CD3-EF5C-43B9-AE1B-86B93D14D275}" id="{4A8BB480-A2EE-4798-8664-5FE64E4CDEA7}">
    <text>Monto ingresado en Hoja DETALLE APORTES.-</text>
  </threadedComment>
  <threadedComment ref="F15" dT="2025-01-28T13:12:04.69" personId="{0E565CD3-EF5C-43B9-AE1B-86B93D14D275}" id="{C0951B4A-D909-443B-8AE2-D6C3E9AB7233}">
    <text>Monto ingresado en Hoja DETALLE APORTES.-</text>
  </threadedComment>
  <threadedComment ref="G15" dT="2025-01-28T13:12:04.69" personId="{0E565CD3-EF5C-43B9-AE1B-86B93D14D275}" id="{DBBCB07C-8BDA-467D-8523-CC3F49F04FAA}">
    <text>Monto ingresado en Hoja DETALLE APORTES.-</text>
  </threadedComment>
  <threadedComment ref="F16" dT="2025-01-28T13:12:04.69" personId="{0E565CD3-EF5C-43B9-AE1B-86B93D14D275}" id="{AB265B10-A067-4AA5-94D6-599E2CB554DC}">
    <text>Monto ingresado en Hoja DETALLE APORTES.-</text>
  </threadedComment>
  <threadedComment ref="G16" dT="2025-01-28T13:12:04.69" personId="{0E565CD3-EF5C-43B9-AE1B-86B93D14D275}" id="{0A8C0AC1-0DD2-4B6E-9C5C-42CB64BD6667}">
    <text>Monto ingresado en Hoja DETALLE APORTES.-</text>
  </threadedComment>
</ThreadedComments>
</file>

<file path=xl/threadedComments/threadedComment2.xml><?xml version="1.0" encoding="utf-8"?>
<ThreadedComments xmlns="http://schemas.microsoft.com/office/spreadsheetml/2018/threadedcomments" xmlns:x="http://schemas.openxmlformats.org/spreadsheetml/2006/main">
  <threadedComment ref="G7" dT="2025-01-28T13:03:47.19" personId="{0E565CD3-EF5C-43B9-AE1B-86B93D14D275}" id="{7EDE5B45-7AC8-47F5-8264-9120E8EC5946}">
    <text>Puede modificar el monto en caso de que este aporte esté distribuido en distintas instituciones.-</text>
  </threadedComment>
  <threadedComment ref="G8" dT="2025-01-28T13:03:47.19" personId="{0E565CD3-EF5C-43B9-AE1B-86B93D14D275}" id="{89C33586-7617-41A9-9927-C3EEF1703468}">
    <text>Puede modificar el monto en caso de que este aporte esté distribuido en distintas instituciones.-</text>
  </threadedComment>
  <threadedComment ref="G9" dT="2025-01-28T13:03:47.19" personId="{0E565CD3-EF5C-43B9-AE1B-86B93D14D275}" id="{75B59B58-F912-4988-80D5-555831CC8556}">
    <text>Puede modificar el monto en caso de que este aporte esté distribuido en distintas instituciones.-</text>
  </threadedComment>
  <threadedComment ref="G11" dT="2025-01-28T13:03:47.19" personId="{0E565CD3-EF5C-43B9-AE1B-86B93D14D275}" id="{F6ED456A-0283-4CCC-9F94-F10A9C4FB954}">
    <text>Puede modificar el monto en caso de que este aporte esté distribuido en distintas instituciones.-</text>
  </threadedComment>
  <threadedComment ref="G12" dT="2025-01-28T13:03:47.19" personId="{0E565CD3-EF5C-43B9-AE1B-86B93D14D275}" id="{BF38B127-74C0-45FF-8532-13088784B80B}">
    <text>Puede modificar el monto en caso de que este aporte esté distribuido en distintas instituciones.-</text>
  </threadedComment>
  <threadedComment ref="G13" dT="2025-01-28T13:03:47.19" personId="{0E565CD3-EF5C-43B9-AE1B-86B93D14D275}" id="{8FFC5D1E-1884-40B0-B0C2-9C506B913365}">
    <text>Puede modificar el monto en caso de que este aporte esté distribuido en distintas instituciones.-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1:H14"/>
  <sheetViews>
    <sheetView showGridLines="0" zoomScale="90" zoomScaleNormal="90" workbookViewId="0">
      <selection activeCell="B1" sqref="B1"/>
    </sheetView>
  </sheetViews>
  <sheetFormatPr defaultColWidth="11.42578125" defaultRowHeight="15"/>
  <cols>
    <col min="1" max="1" width="1.42578125" customWidth="1"/>
    <col min="2" max="2" width="226.42578125" customWidth="1"/>
    <col min="3" max="3" width="5.7109375" customWidth="1"/>
    <col min="6" max="6" width="15" customWidth="1"/>
    <col min="13" max="13" width="7.7109375" customWidth="1"/>
  </cols>
  <sheetData>
    <row r="1" spans="2:8" s="261" customFormat="1" ht="21" customHeight="1">
      <c r="B1" s="260" t="s">
        <v>0</v>
      </c>
    </row>
    <row r="2" spans="2:8" ht="9.6" customHeight="1"/>
    <row r="3" spans="2:8" ht="50.45" customHeight="1">
      <c r="B3" s="224" t="s">
        <v>1</v>
      </c>
      <c r="C3" s="225"/>
      <c r="D3" s="225"/>
      <c r="E3" s="225"/>
      <c r="F3" s="225"/>
      <c r="G3" s="225"/>
      <c r="H3" s="225"/>
    </row>
    <row r="4" spans="2:8" ht="22.5" customHeight="1">
      <c r="B4" s="226" t="s">
        <v>2</v>
      </c>
    </row>
    <row r="5" spans="2:8" ht="110.1" customHeight="1">
      <c r="B5" s="343" t="s">
        <v>3</v>
      </c>
    </row>
    <row r="6" spans="2:8" ht="22.5" customHeight="1">
      <c r="B6" s="226" t="s">
        <v>4</v>
      </c>
    </row>
    <row r="7" spans="2:8" ht="25.35" customHeight="1">
      <c r="B7" s="344" t="s">
        <v>5</v>
      </c>
    </row>
    <row r="8" spans="2:8" ht="25.35" customHeight="1">
      <c r="B8" s="345" t="s">
        <v>6</v>
      </c>
    </row>
    <row r="9" spans="2:8" ht="48.75" customHeight="1">
      <c r="B9" s="347" t="s">
        <v>7</v>
      </c>
    </row>
    <row r="10" spans="2:8" ht="38.1" customHeight="1">
      <c r="B10" s="345" t="s">
        <v>8</v>
      </c>
    </row>
    <row r="11" spans="2:8" ht="51.75" customHeight="1">
      <c r="B11" s="347" t="s">
        <v>9</v>
      </c>
    </row>
    <row r="12" spans="2:8" ht="25.35" customHeight="1">
      <c r="B12" s="346" t="s">
        <v>10</v>
      </c>
    </row>
    <row r="13" spans="2:8" ht="25.35" customHeight="1">
      <c r="B13" s="345" t="s">
        <v>11</v>
      </c>
    </row>
    <row r="14" spans="2:8" ht="34.5" customHeight="1">
      <c r="B14" s="344" t="s">
        <v>12</v>
      </c>
    </row>
  </sheetData>
  <sheetProtection algorithmName="SHA-512" hashValue="XuDlcmYwwQukuMjaQ8+wIeics8knS7dQ8Jbq7v2kweMDUOudSRLcmNX2s2W5r1THnZChbxqFNnLtvIPJC6F1PA==" saltValue="onqWXd87DcFOE74P4BPUKg==" spinCount="100000" sheet="1" selectLockedCells="1" selectUnlockedCells="1"/>
  <printOptions horizontalCentered="1"/>
  <pageMargins left="0" right="0" top="0.78740157480314965" bottom="0.98425196850393704" header="0.31496062992125984" footer="0.59055118110236227"/>
  <pageSetup scale="75" orientation="landscape" r:id="rId1"/>
  <headerFooter alignWithMargins="0">
    <oddFooter>&amp;L&amp;A - &amp;F
&amp;D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2"/>
  <sheetViews>
    <sheetView zoomScale="90" zoomScaleNormal="90" workbookViewId="0">
      <selection activeCell="S4" sqref="S4"/>
    </sheetView>
  </sheetViews>
  <sheetFormatPr defaultColWidth="11.42578125" defaultRowHeight="15"/>
  <cols>
    <col min="1" max="1" width="35.28515625" style="269" customWidth="1"/>
    <col min="2" max="2" width="27.85546875" style="295" customWidth="1"/>
    <col min="3" max="3" width="14.7109375" style="2" customWidth="1"/>
    <col min="4" max="4" width="12.42578125" style="2" customWidth="1"/>
    <col min="5" max="5" width="4.7109375" style="2" customWidth="1"/>
    <col min="6" max="6" width="14.7109375" style="2" customWidth="1"/>
    <col min="7" max="7" width="12.42578125" style="2" customWidth="1"/>
    <col min="8" max="8" width="5.28515625" style="2" customWidth="1"/>
    <col min="9" max="9" width="14.7109375" style="2" customWidth="1"/>
    <col min="10" max="10" width="12.42578125" style="2" customWidth="1"/>
    <col min="11" max="12" width="11.42578125" style="2"/>
    <col min="13" max="13" width="4.7109375" customWidth="1"/>
    <col min="14" max="14" width="14.7109375" style="2" customWidth="1"/>
    <col min="15" max="15" width="12.42578125" style="2" customWidth="1"/>
    <col min="16" max="17" width="11.42578125" style="2"/>
    <col min="18" max="18" width="4.7109375" customWidth="1"/>
    <col min="19" max="16384" width="11.42578125" style="2"/>
  </cols>
  <sheetData>
    <row r="1" spans="1:21" ht="20.45" customHeight="1">
      <c r="C1" s="492" t="s">
        <v>157</v>
      </c>
      <c r="D1" s="492"/>
      <c r="E1" s="269"/>
      <c r="F1" s="493" t="s">
        <v>158</v>
      </c>
      <c r="G1" s="493"/>
      <c r="I1" s="494" t="s">
        <v>159</v>
      </c>
      <c r="J1" s="494"/>
      <c r="N1" s="494" t="s">
        <v>159</v>
      </c>
      <c r="O1" s="494"/>
    </row>
    <row r="2" spans="1:21" ht="18" customHeight="1">
      <c r="C2" s="270" t="s">
        <v>160</v>
      </c>
      <c r="D2" s="271"/>
      <c r="E2" s="272"/>
      <c r="F2" s="270" t="s">
        <v>160</v>
      </c>
      <c r="G2" s="271"/>
      <c r="I2" s="270" t="s">
        <v>160</v>
      </c>
      <c r="J2" s="271"/>
      <c r="K2" s="496" t="s">
        <v>161</v>
      </c>
      <c r="L2" s="497"/>
      <c r="N2" s="270" t="s">
        <v>160</v>
      </c>
      <c r="O2" s="271"/>
      <c r="P2" s="496" t="s">
        <v>161</v>
      </c>
      <c r="Q2" s="497"/>
      <c r="S2" s="495" t="s">
        <v>161</v>
      </c>
      <c r="T2" s="495"/>
      <c r="U2" s="495"/>
    </row>
    <row r="3" spans="1:21" ht="15.6" customHeight="1">
      <c r="B3" s="297" t="s">
        <v>162</v>
      </c>
      <c r="C3" s="273" t="s">
        <v>163</v>
      </c>
      <c r="D3" s="274" t="s">
        <v>164</v>
      </c>
      <c r="E3" s="275"/>
      <c r="F3" s="273" t="s">
        <v>163</v>
      </c>
      <c r="G3" s="274" t="s">
        <v>164</v>
      </c>
      <c r="H3" s="275"/>
      <c r="I3" s="276" t="s">
        <v>163</v>
      </c>
      <c r="J3" s="277" t="s">
        <v>164</v>
      </c>
      <c r="K3" s="278" t="s">
        <v>165</v>
      </c>
      <c r="L3" s="279" t="s">
        <v>166</v>
      </c>
      <c r="N3" s="276" t="s">
        <v>163</v>
      </c>
      <c r="O3" s="277" t="s">
        <v>164</v>
      </c>
      <c r="P3" s="278" t="s">
        <v>165</v>
      </c>
      <c r="Q3" s="279" t="s">
        <v>166</v>
      </c>
      <c r="S3" s="278" t="s">
        <v>165</v>
      </c>
      <c r="T3" s="279" t="s">
        <v>166</v>
      </c>
      <c r="U3" s="279" t="s">
        <v>167</v>
      </c>
    </row>
    <row r="4" spans="1:21" ht="22.35" customHeight="1">
      <c r="A4" s="280" t="s">
        <v>69</v>
      </c>
      <c r="B4" s="296"/>
      <c r="C4" s="281"/>
      <c r="D4" s="282">
        <f>+C4*$D$2</f>
        <v>0</v>
      </c>
      <c r="E4" s="275"/>
      <c r="F4" s="281"/>
      <c r="G4" s="282">
        <f t="shared" ref="G4:G10" si="0">+F4*$G$2</f>
        <v>0</v>
      </c>
      <c r="H4" s="275"/>
      <c r="I4" s="283"/>
      <c r="J4" s="282">
        <f t="shared" ref="J4:J10" si="1">+I4*$J$2</f>
        <v>0</v>
      </c>
      <c r="K4" s="282"/>
      <c r="L4" s="282"/>
      <c r="N4" s="283"/>
      <c r="O4" s="282">
        <f t="shared" ref="O4:O10" si="2">+N4*$J$2</f>
        <v>0</v>
      </c>
      <c r="P4" s="282"/>
      <c r="Q4" s="282"/>
      <c r="S4" s="282">
        <f t="shared" ref="S4:T10" si="3">SUMIF($I$3:$Q$3,S$3,$I4:$Q4)</f>
        <v>0</v>
      </c>
      <c r="T4" s="282">
        <f t="shared" si="3"/>
        <v>0</v>
      </c>
      <c r="U4" s="284">
        <f>SUM(S4:T4)</f>
        <v>0</v>
      </c>
    </row>
    <row r="5" spans="1:21" ht="22.35" customHeight="1">
      <c r="A5" s="280" t="s">
        <v>33</v>
      </c>
      <c r="B5" s="296"/>
      <c r="C5" s="281"/>
      <c r="D5" s="282">
        <f t="shared" ref="D5:D10" si="4">+C5*$D$2</f>
        <v>0</v>
      </c>
      <c r="E5" s="275"/>
      <c r="F5" s="281"/>
      <c r="G5" s="282">
        <f t="shared" si="0"/>
        <v>0</v>
      </c>
      <c r="H5" s="275"/>
      <c r="I5" s="283"/>
      <c r="J5" s="282">
        <f t="shared" si="1"/>
        <v>0</v>
      </c>
      <c r="K5" s="282"/>
      <c r="L5" s="282"/>
      <c r="N5" s="283"/>
      <c r="O5" s="282">
        <f t="shared" si="2"/>
        <v>0</v>
      </c>
      <c r="P5" s="282"/>
      <c r="Q5" s="282"/>
      <c r="S5" s="282">
        <f t="shared" si="3"/>
        <v>0</v>
      </c>
      <c r="T5" s="282">
        <f t="shared" si="3"/>
        <v>0</v>
      </c>
      <c r="U5" s="284">
        <f t="shared" ref="U5:U10" si="5">SUM(S5:T5)</f>
        <v>0</v>
      </c>
    </row>
    <row r="6" spans="1:21" ht="22.35" customHeight="1">
      <c r="A6" s="280" t="s">
        <v>57</v>
      </c>
      <c r="B6" s="296"/>
      <c r="C6" s="281"/>
      <c r="D6" s="282">
        <f t="shared" si="4"/>
        <v>0</v>
      </c>
      <c r="E6" s="275"/>
      <c r="F6" s="281"/>
      <c r="G6" s="282">
        <f t="shared" si="0"/>
        <v>0</v>
      </c>
      <c r="H6" s="275"/>
      <c r="I6" s="283"/>
      <c r="J6" s="282">
        <f t="shared" si="1"/>
        <v>0</v>
      </c>
      <c r="K6" s="282"/>
      <c r="L6" s="282"/>
      <c r="N6" s="283"/>
      <c r="O6" s="282">
        <f t="shared" si="2"/>
        <v>0</v>
      </c>
      <c r="P6" s="282"/>
      <c r="Q6" s="282"/>
      <c r="S6" s="282">
        <f t="shared" si="3"/>
        <v>0</v>
      </c>
      <c r="T6" s="282">
        <f t="shared" si="3"/>
        <v>0</v>
      </c>
      <c r="U6" s="284">
        <f t="shared" si="5"/>
        <v>0</v>
      </c>
    </row>
    <row r="7" spans="1:21" ht="22.35" customHeight="1">
      <c r="A7" s="280" t="s">
        <v>73</v>
      </c>
      <c r="B7" s="296"/>
      <c r="C7" s="281"/>
      <c r="D7" s="282">
        <f t="shared" si="4"/>
        <v>0</v>
      </c>
      <c r="E7" s="275"/>
      <c r="F7" s="281"/>
      <c r="G7" s="282">
        <f t="shared" si="0"/>
        <v>0</v>
      </c>
      <c r="H7" s="275"/>
      <c r="I7" s="283"/>
      <c r="J7" s="282">
        <f t="shared" si="1"/>
        <v>0</v>
      </c>
      <c r="K7" s="282"/>
      <c r="L7" s="282"/>
      <c r="N7" s="283"/>
      <c r="O7" s="282">
        <f t="shared" si="2"/>
        <v>0</v>
      </c>
      <c r="P7" s="282"/>
      <c r="Q7" s="282"/>
      <c r="S7" s="282">
        <f t="shared" si="3"/>
        <v>0</v>
      </c>
      <c r="T7" s="282">
        <f t="shared" si="3"/>
        <v>0</v>
      </c>
      <c r="U7" s="284">
        <f t="shared" si="5"/>
        <v>0</v>
      </c>
    </row>
    <row r="8" spans="1:21" ht="22.35" customHeight="1">
      <c r="A8" s="280" t="s">
        <v>58</v>
      </c>
      <c r="B8" s="296"/>
      <c r="C8" s="281"/>
      <c r="D8" s="282">
        <f t="shared" si="4"/>
        <v>0</v>
      </c>
      <c r="E8" s="275"/>
      <c r="F8" s="281"/>
      <c r="G8" s="282">
        <f t="shared" si="0"/>
        <v>0</v>
      </c>
      <c r="H8" s="275"/>
      <c r="I8" s="283"/>
      <c r="J8" s="282">
        <f t="shared" si="1"/>
        <v>0</v>
      </c>
      <c r="K8" s="282"/>
      <c r="L8" s="282"/>
      <c r="N8" s="283"/>
      <c r="O8" s="282">
        <f t="shared" si="2"/>
        <v>0</v>
      </c>
      <c r="P8" s="282"/>
      <c r="Q8" s="282"/>
      <c r="S8" s="282">
        <f t="shared" si="3"/>
        <v>0</v>
      </c>
      <c r="T8" s="282">
        <f t="shared" si="3"/>
        <v>0</v>
      </c>
      <c r="U8" s="284">
        <f t="shared" si="5"/>
        <v>0</v>
      </c>
    </row>
    <row r="9" spans="1:21" ht="22.35" customHeight="1">
      <c r="A9" s="280" t="s">
        <v>59</v>
      </c>
      <c r="B9" s="296"/>
      <c r="C9" s="281"/>
      <c r="D9" s="282">
        <f t="shared" si="4"/>
        <v>0</v>
      </c>
      <c r="E9" s="275"/>
      <c r="F9" s="281"/>
      <c r="G9" s="282">
        <f t="shared" si="0"/>
        <v>0</v>
      </c>
      <c r="H9" s="275"/>
      <c r="I9" s="283"/>
      <c r="J9" s="282">
        <f t="shared" si="1"/>
        <v>0</v>
      </c>
      <c r="K9" s="282"/>
      <c r="L9" s="282"/>
      <c r="N9" s="283"/>
      <c r="O9" s="282">
        <f t="shared" si="2"/>
        <v>0</v>
      </c>
      <c r="P9" s="282"/>
      <c r="Q9" s="282"/>
      <c r="S9" s="282">
        <f t="shared" si="3"/>
        <v>0</v>
      </c>
      <c r="T9" s="282">
        <f t="shared" si="3"/>
        <v>0</v>
      </c>
      <c r="U9" s="284">
        <f t="shared" si="5"/>
        <v>0</v>
      </c>
    </row>
    <row r="10" spans="1:21" ht="22.35" customHeight="1">
      <c r="A10" s="280" t="s">
        <v>60</v>
      </c>
      <c r="B10" s="296"/>
      <c r="C10" s="281"/>
      <c r="D10" s="282">
        <f t="shared" si="4"/>
        <v>0</v>
      </c>
      <c r="E10" s="275"/>
      <c r="F10" s="281"/>
      <c r="G10" s="282">
        <f t="shared" si="0"/>
        <v>0</v>
      </c>
      <c r="H10" s="275"/>
      <c r="I10" s="283"/>
      <c r="J10" s="282">
        <f t="shared" si="1"/>
        <v>0</v>
      </c>
      <c r="K10" s="282"/>
      <c r="L10" s="282"/>
      <c r="N10" s="283"/>
      <c r="O10" s="282">
        <f t="shared" si="2"/>
        <v>0</v>
      </c>
      <c r="P10" s="282"/>
      <c r="Q10" s="282"/>
      <c r="S10" s="282">
        <f t="shared" si="3"/>
        <v>0</v>
      </c>
      <c r="T10" s="282">
        <f t="shared" si="3"/>
        <v>0</v>
      </c>
      <c r="U10" s="284">
        <f t="shared" si="5"/>
        <v>0</v>
      </c>
    </row>
    <row r="11" spans="1:21" ht="22.35" customHeight="1">
      <c r="C11" s="285">
        <f>SUM(C4:C10)</f>
        <v>0</v>
      </c>
      <c r="D11" s="286">
        <f>SUM(D4:D10)</f>
        <v>0</v>
      </c>
      <c r="E11" s="275"/>
      <c r="F11" s="285">
        <f>SUM(F4:F10)</f>
        <v>0</v>
      </c>
      <c r="G11" s="286">
        <f>SUM(G4:G10)</f>
        <v>0</v>
      </c>
      <c r="H11" s="275"/>
      <c r="I11" s="287">
        <f>SUM(I4:I10)</f>
        <v>0</v>
      </c>
      <c r="J11" s="288">
        <f>SUM(J4:J10)</f>
        <v>0</v>
      </c>
      <c r="K11" s="289">
        <f>SUM(K4:K10)</f>
        <v>0</v>
      </c>
      <c r="L11" s="289">
        <f>SUM(L4:L10)</f>
        <v>0</v>
      </c>
      <c r="N11" s="287">
        <f>SUM(N4:N10)</f>
        <v>0</v>
      </c>
      <c r="O11" s="288">
        <f>SUM(O4:O10)</f>
        <v>0</v>
      </c>
      <c r="P11" s="289">
        <f>SUM(P4:P10)</f>
        <v>0</v>
      </c>
      <c r="Q11" s="289">
        <f>SUM(Q4:Q10)</f>
        <v>0</v>
      </c>
      <c r="S11" s="289">
        <f>SUM(S4:S10)</f>
        <v>0</v>
      </c>
      <c r="T11" s="289">
        <f>SUM(T4:T10)</f>
        <v>0</v>
      </c>
      <c r="U11" s="289">
        <f>SUM(U4:U10)</f>
        <v>0</v>
      </c>
    </row>
    <row r="12" spans="1:21">
      <c r="C12" s="290"/>
      <c r="D12" s="275"/>
      <c r="E12" s="275"/>
      <c r="F12" s="290"/>
      <c r="G12" s="275"/>
      <c r="H12" s="275"/>
      <c r="I12" s="291"/>
      <c r="J12" s="275"/>
      <c r="K12" s="275"/>
      <c r="L12" s="275"/>
      <c r="N12" s="291"/>
      <c r="O12" s="275"/>
      <c r="P12" s="275"/>
      <c r="Q12" s="275"/>
      <c r="S12" s="275"/>
      <c r="T12" s="275"/>
      <c r="U12" s="275"/>
    </row>
    <row r="13" spans="1:21">
      <c r="C13" s="290"/>
      <c r="D13" s="275"/>
      <c r="E13" s="275"/>
      <c r="F13" s="290"/>
      <c r="G13" s="275"/>
      <c r="I13" s="291"/>
      <c r="J13" s="275"/>
      <c r="K13" s="275"/>
      <c r="L13" s="275"/>
      <c r="N13" s="291"/>
      <c r="O13" s="275"/>
      <c r="P13" s="275"/>
      <c r="Q13" s="275"/>
      <c r="S13" s="275"/>
      <c r="T13" s="275"/>
      <c r="U13" s="275"/>
    </row>
    <row r="14" spans="1:21" ht="16.350000000000001" customHeight="1">
      <c r="A14" s="292" t="s">
        <v>69</v>
      </c>
      <c r="B14" s="296"/>
      <c r="C14" s="281">
        <f>SUMIF($A$4:$A$10,$A14,C$4:C$10)</f>
        <v>0</v>
      </c>
      <c r="D14" s="282">
        <f>SUMIF($A$4:$A$10,$A14,D$4:D$10)</f>
        <v>0</v>
      </c>
      <c r="E14" s="275"/>
      <c r="F14" s="281">
        <f>SUMIF($A$4:$A$10,$A14,F$4:F$10)</f>
        <v>0</v>
      </c>
      <c r="G14" s="282">
        <f>SUMIF($A$4:$A$10,$A14,G$4:G$10)</f>
        <v>0</v>
      </c>
      <c r="I14" s="283">
        <f>SUMIF($A$4:$A$10,$A14,I$4:I$10)</f>
        <v>0</v>
      </c>
      <c r="J14" s="282">
        <f>SUMIF($A$4:$A$10,$A14,J$4:J$10)</f>
        <v>0</v>
      </c>
      <c r="K14" s="282">
        <f>SUMIF($A$4:$A$10,$A14,K$4:K$10)</f>
        <v>0</v>
      </c>
      <c r="L14" s="282">
        <f>SUMIF($A$4:$A$10,$A14,L$4:L$10)</f>
        <v>0</v>
      </c>
      <c r="N14" s="283">
        <f>SUMIF($A$4:$A$10,$A14,N$4:N$10)</f>
        <v>0</v>
      </c>
      <c r="O14" s="282">
        <f>SUMIF($A$4:$A$10,$A14,O$4:O$10)</f>
        <v>0</v>
      </c>
      <c r="P14" s="282">
        <f>SUMIF($A$4:$A$10,$A14,P$4:P$10)</f>
        <v>0</v>
      </c>
      <c r="Q14" s="282">
        <f>SUMIF($A$4:$A$10,$A14,Q$4:Q$10)</f>
        <v>0</v>
      </c>
      <c r="R14" s="2"/>
      <c r="S14" s="282">
        <f>SUMIF($A$4:$A$10,$A14,S$4:S$10)</f>
        <v>0</v>
      </c>
      <c r="T14" s="282">
        <f>SUMIF($A$4:$A$10,$A14,T$4:T$10)</f>
        <v>0</v>
      </c>
      <c r="U14" s="282">
        <f>SUMIF($A$4:$A$10,$A14,U$4:U$10)</f>
        <v>0</v>
      </c>
    </row>
    <row r="15" spans="1:21" ht="16.350000000000001" customHeight="1">
      <c r="A15" s="292" t="s">
        <v>33</v>
      </c>
      <c r="B15" s="296"/>
      <c r="C15" s="281">
        <f t="shared" ref="C15:U20" si="6">SUMIF($A$4:$A$10,$A15,C$4:C$10)</f>
        <v>0</v>
      </c>
      <c r="D15" s="282">
        <f t="shared" si="6"/>
        <v>0</v>
      </c>
      <c r="E15" s="275"/>
      <c r="F15" s="281">
        <f t="shared" si="6"/>
        <v>0</v>
      </c>
      <c r="G15" s="282">
        <f t="shared" si="6"/>
        <v>0</v>
      </c>
      <c r="I15" s="283">
        <f t="shared" si="6"/>
        <v>0</v>
      </c>
      <c r="J15" s="282">
        <f t="shared" si="6"/>
        <v>0</v>
      </c>
      <c r="K15" s="282">
        <f t="shared" si="6"/>
        <v>0</v>
      </c>
      <c r="L15" s="282">
        <f t="shared" si="6"/>
        <v>0</v>
      </c>
      <c r="N15" s="283">
        <f t="shared" si="6"/>
        <v>0</v>
      </c>
      <c r="O15" s="282">
        <f t="shared" si="6"/>
        <v>0</v>
      </c>
      <c r="P15" s="282">
        <f t="shared" si="6"/>
        <v>0</v>
      </c>
      <c r="Q15" s="282">
        <f t="shared" si="6"/>
        <v>0</v>
      </c>
      <c r="R15" s="2"/>
      <c r="S15" s="282">
        <f t="shared" si="6"/>
        <v>0</v>
      </c>
      <c r="T15" s="282">
        <f t="shared" si="6"/>
        <v>0</v>
      </c>
      <c r="U15" s="282">
        <f t="shared" si="6"/>
        <v>0</v>
      </c>
    </row>
    <row r="16" spans="1:21" ht="16.350000000000001" customHeight="1">
      <c r="A16" s="292" t="s">
        <v>57</v>
      </c>
      <c r="B16" s="296"/>
      <c r="C16" s="281">
        <f t="shared" si="6"/>
        <v>0</v>
      </c>
      <c r="D16" s="282">
        <f t="shared" si="6"/>
        <v>0</v>
      </c>
      <c r="E16" s="275"/>
      <c r="F16" s="281">
        <f t="shared" si="6"/>
        <v>0</v>
      </c>
      <c r="G16" s="282">
        <f t="shared" si="6"/>
        <v>0</v>
      </c>
      <c r="I16" s="283">
        <f t="shared" si="6"/>
        <v>0</v>
      </c>
      <c r="J16" s="282">
        <f t="shared" si="6"/>
        <v>0</v>
      </c>
      <c r="K16" s="282">
        <f t="shared" si="6"/>
        <v>0</v>
      </c>
      <c r="L16" s="282">
        <f t="shared" si="6"/>
        <v>0</v>
      </c>
      <c r="N16" s="283">
        <f t="shared" si="6"/>
        <v>0</v>
      </c>
      <c r="O16" s="282">
        <f t="shared" si="6"/>
        <v>0</v>
      </c>
      <c r="P16" s="282">
        <f t="shared" si="6"/>
        <v>0</v>
      </c>
      <c r="Q16" s="282">
        <f t="shared" si="6"/>
        <v>0</v>
      </c>
      <c r="R16" s="2"/>
      <c r="S16" s="282">
        <f t="shared" si="6"/>
        <v>0</v>
      </c>
      <c r="T16" s="282">
        <f t="shared" si="6"/>
        <v>0</v>
      </c>
      <c r="U16" s="282">
        <f t="shared" si="6"/>
        <v>0</v>
      </c>
    </row>
    <row r="17" spans="1:21" ht="16.350000000000001" customHeight="1">
      <c r="A17" s="292" t="s">
        <v>73</v>
      </c>
      <c r="B17" s="296"/>
      <c r="C17" s="281">
        <f t="shared" si="6"/>
        <v>0</v>
      </c>
      <c r="D17" s="282">
        <f t="shared" si="6"/>
        <v>0</v>
      </c>
      <c r="E17" s="275"/>
      <c r="F17" s="281">
        <f t="shared" si="6"/>
        <v>0</v>
      </c>
      <c r="G17" s="282">
        <f t="shared" si="6"/>
        <v>0</v>
      </c>
      <c r="I17" s="283">
        <f t="shared" si="6"/>
        <v>0</v>
      </c>
      <c r="J17" s="282">
        <f t="shared" si="6"/>
        <v>0</v>
      </c>
      <c r="K17" s="282">
        <f t="shared" si="6"/>
        <v>0</v>
      </c>
      <c r="L17" s="282">
        <f t="shared" si="6"/>
        <v>0</v>
      </c>
      <c r="N17" s="283">
        <f t="shared" si="6"/>
        <v>0</v>
      </c>
      <c r="O17" s="282">
        <f t="shared" si="6"/>
        <v>0</v>
      </c>
      <c r="P17" s="282">
        <f t="shared" si="6"/>
        <v>0</v>
      </c>
      <c r="Q17" s="282">
        <f t="shared" si="6"/>
        <v>0</v>
      </c>
      <c r="R17" s="2"/>
      <c r="S17" s="282">
        <f t="shared" si="6"/>
        <v>0</v>
      </c>
      <c r="T17" s="282">
        <f t="shared" si="6"/>
        <v>0</v>
      </c>
      <c r="U17" s="282">
        <f t="shared" si="6"/>
        <v>0</v>
      </c>
    </row>
    <row r="18" spans="1:21" ht="16.350000000000001" customHeight="1">
      <c r="A18" s="292" t="s">
        <v>58</v>
      </c>
      <c r="B18" s="296"/>
      <c r="C18" s="281">
        <f t="shared" si="6"/>
        <v>0</v>
      </c>
      <c r="D18" s="282">
        <f t="shared" si="6"/>
        <v>0</v>
      </c>
      <c r="E18" s="275"/>
      <c r="F18" s="281">
        <f t="shared" si="6"/>
        <v>0</v>
      </c>
      <c r="G18" s="282">
        <f t="shared" si="6"/>
        <v>0</v>
      </c>
      <c r="I18" s="283">
        <f t="shared" si="6"/>
        <v>0</v>
      </c>
      <c r="J18" s="282">
        <f t="shared" si="6"/>
        <v>0</v>
      </c>
      <c r="K18" s="282">
        <f t="shared" si="6"/>
        <v>0</v>
      </c>
      <c r="L18" s="282">
        <f t="shared" si="6"/>
        <v>0</v>
      </c>
      <c r="N18" s="283">
        <f t="shared" si="6"/>
        <v>0</v>
      </c>
      <c r="O18" s="282">
        <f t="shared" si="6"/>
        <v>0</v>
      </c>
      <c r="P18" s="282">
        <f t="shared" si="6"/>
        <v>0</v>
      </c>
      <c r="Q18" s="282">
        <f t="shared" si="6"/>
        <v>0</v>
      </c>
      <c r="R18" s="2"/>
      <c r="S18" s="282">
        <f t="shared" si="6"/>
        <v>0</v>
      </c>
      <c r="T18" s="282">
        <f t="shared" si="6"/>
        <v>0</v>
      </c>
      <c r="U18" s="282">
        <f t="shared" si="6"/>
        <v>0</v>
      </c>
    </row>
    <row r="19" spans="1:21" ht="16.350000000000001" customHeight="1">
      <c r="A19" s="292" t="s">
        <v>59</v>
      </c>
      <c r="B19" s="296"/>
      <c r="C19" s="281">
        <f t="shared" si="6"/>
        <v>0</v>
      </c>
      <c r="D19" s="282">
        <f t="shared" si="6"/>
        <v>0</v>
      </c>
      <c r="E19" s="275"/>
      <c r="F19" s="281">
        <f t="shared" si="6"/>
        <v>0</v>
      </c>
      <c r="G19" s="282">
        <f t="shared" si="6"/>
        <v>0</v>
      </c>
      <c r="I19" s="283">
        <f t="shared" si="6"/>
        <v>0</v>
      </c>
      <c r="J19" s="282">
        <f t="shared" si="6"/>
        <v>0</v>
      </c>
      <c r="K19" s="282">
        <f t="shared" si="6"/>
        <v>0</v>
      </c>
      <c r="L19" s="282">
        <f t="shared" si="6"/>
        <v>0</v>
      </c>
      <c r="N19" s="283">
        <f t="shared" si="6"/>
        <v>0</v>
      </c>
      <c r="O19" s="282">
        <f t="shared" si="6"/>
        <v>0</v>
      </c>
      <c r="P19" s="282">
        <f t="shared" si="6"/>
        <v>0</v>
      </c>
      <c r="Q19" s="282">
        <f t="shared" si="6"/>
        <v>0</v>
      </c>
      <c r="R19" s="2"/>
      <c r="S19" s="282">
        <f t="shared" si="6"/>
        <v>0</v>
      </c>
      <c r="T19" s="282">
        <f t="shared" si="6"/>
        <v>0</v>
      </c>
      <c r="U19" s="282">
        <f t="shared" si="6"/>
        <v>0</v>
      </c>
    </row>
    <row r="20" spans="1:21" ht="16.350000000000001" customHeight="1">
      <c r="A20" s="292" t="s">
        <v>60</v>
      </c>
      <c r="B20" s="296"/>
      <c r="C20" s="281">
        <f t="shared" si="6"/>
        <v>0</v>
      </c>
      <c r="D20" s="282">
        <f t="shared" si="6"/>
        <v>0</v>
      </c>
      <c r="E20" s="275"/>
      <c r="F20" s="281">
        <f t="shared" si="6"/>
        <v>0</v>
      </c>
      <c r="G20" s="282">
        <f t="shared" si="6"/>
        <v>0</v>
      </c>
      <c r="I20" s="283">
        <f t="shared" si="6"/>
        <v>0</v>
      </c>
      <c r="J20" s="282">
        <f t="shared" si="6"/>
        <v>0</v>
      </c>
      <c r="K20" s="282">
        <f t="shared" si="6"/>
        <v>0</v>
      </c>
      <c r="L20" s="282">
        <f t="shared" si="6"/>
        <v>0</v>
      </c>
      <c r="N20" s="283">
        <f t="shared" si="6"/>
        <v>0</v>
      </c>
      <c r="O20" s="282">
        <f t="shared" si="6"/>
        <v>0</v>
      </c>
      <c r="P20" s="282">
        <f t="shared" si="6"/>
        <v>0</v>
      </c>
      <c r="Q20" s="282">
        <f t="shared" si="6"/>
        <v>0</v>
      </c>
      <c r="R20" s="2"/>
      <c r="S20" s="282">
        <f t="shared" si="6"/>
        <v>0</v>
      </c>
      <c r="T20" s="282">
        <f t="shared" si="6"/>
        <v>0</v>
      </c>
      <c r="U20" s="282">
        <f t="shared" si="6"/>
        <v>0</v>
      </c>
    </row>
    <row r="21" spans="1:21" ht="16.350000000000001" customHeight="1">
      <c r="C21" s="285">
        <f>SUM(C14:C20)</f>
        <v>0</v>
      </c>
      <c r="D21" s="286">
        <f t="shared" ref="D21:U21" si="7">SUM(D14:D20)</f>
        <v>0</v>
      </c>
      <c r="E21" s="293"/>
      <c r="F21" s="285">
        <f t="shared" si="7"/>
        <v>0</v>
      </c>
      <c r="G21" s="286">
        <f t="shared" si="7"/>
        <v>0</v>
      </c>
      <c r="H21" s="79"/>
      <c r="I21" s="287">
        <f t="shared" si="7"/>
        <v>0</v>
      </c>
      <c r="J21" s="288">
        <f t="shared" si="7"/>
        <v>0</v>
      </c>
      <c r="K21" s="289">
        <f t="shared" ref="K21:L21" si="8">SUM(K14:K20)</f>
        <v>0</v>
      </c>
      <c r="L21" s="289">
        <f t="shared" si="8"/>
        <v>0</v>
      </c>
      <c r="N21" s="287">
        <f t="shared" ref="N21:Q21" si="9">SUM(N14:N20)</f>
        <v>0</v>
      </c>
      <c r="O21" s="288">
        <f t="shared" si="9"/>
        <v>0</v>
      </c>
      <c r="P21" s="289">
        <f t="shared" si="9"/>
        <v>0</v>
      </c>
      <c r="Q21" s="289">
        <f t="shared" si="9"/>
        <v>0</v>
      </c>
      <c r="R21" s="79"/>
      <c r="S21" s="289">
        <f t="shared" si="7"/>
        <v>0</v>
      </c>
      <c r="T21" s="289">
        <f t="shared" si="7"/>
        <v>0</v>
      </c>
      <c r="U21" s="289">
        <f t="shared" si="7"/>
        <v>0</v>
      </c>
    </row>
    <row r="22" spans="1:21">
      <c r="F22" s="294"/>
    </row>
  </sheetData>
  <mergeCells count="7">
    <mergeCell ref="C1:D1"/>
    <mergeCell ref="F1:G1"/>
    <mergeCell ref="I1:J1"/>
    <mergeCell ref="S2:U2"/>
    <mergeCell ref="N1:O1"/>
    <mergeCell ref="K2:L2"/>
    <mergeCell ref="P2:Q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showGridLines="0" zoomScale="109" zoomScaleNormal="109" workbookViewId="0">
      <selection activeCell="A28" sqref="A28:XFD30"/>
    </sheetView>
  </sheetViews>
  <sheetFormatPr defaultColWidth="11.42578125" defaultRowHeight="15"/>
  <cols>
    <col min="1" max="1" width="2.140625" style="114" customWidth="1"/>
    <col min="2" max="2" width="11.7109375" style="114" customWidth="1"/>
    <col min="3" max="3" width="10.140625" style="114" customWidth="1"/>
    <col min="4" max="4" width="11.7109375" style="114" customWidth="1"/>
    <col min="5" max="5" width="21.42578125" style="114" customWidth="1"/>
    <col min="6" max="6" width="17.140625" style="114" customWidth="1"/>
    <col min="7" max="9" width="15.7109375" style="114" customWidth="1"/>
    <col min="10" max="10" width="26.42578125" style="114" customWidth="1"/>
    <col min="11" max="11" width="2.42578125" style="114" customWidth="1"/>
    <col min="12" max="12" width="61.42578125" style="114" customWidth="1"/>
    <col min="13" max="13" width="2.85546875" style="114" customWidth="1"/>
    <col min="15" max="17" width="11.42578125" style="114"/>
    <col min="18" max="18" width="2.42578125" style="114" customWidth="1"/>
    <col min="19" max="16384" width="11.42578125" style="114"/>
  </cols>
  <sheetData>
    <row r="1" spans="1:14" s="212" customFormat="1" ht="24" customHeight="1">
      <c r="A1" s="208"/>
      <c r="B1" s="358" t="s">
        <v>13</v>
      </c>
      <c r="C1" s="358"/>
      <c r="D1" s="358"/>
      <c r="E1" s="358"/>
      <c r="F1" s="358"/>
      <c r="G1" s="358"/>
      <c r="H1" s="358"/>
      <c r="I1" s="358"/>
      <c r="J1" s="358"/>
      <c r="K1" s="209"/>
      <c r="L1" s="210" t="s">
        <v>14</v>
      </c>
      <c r="M1" s="211"/>
      <c r="N1"/>
    </row>
    <row r="2" spans="1:14" ht="17.45" customHeight="1">
      <c r="A2" s="213"/>
      <c r="B2" s="214" t="s">
        <v>15</v>
      </c>
      <c r="C2" s="215"/>
      <c r="K2" s="216"/>
      <c r="L2" s="376" t="s">
        <v>16</v>
      </c>
      <c r="M2" s="217"/>
    </row>
    <row r="3" spans="1:14" s="100" customFormat="1" ht="27" customHeight="1">
      <c r="A3" s="218"/>
      <c r="B3" s="370" t="s">
        <v>17</v>
      </c>
      <c r="C3" s="371"/>
      <c r="D3" s="371"/>
      <c r="E3" s="371"/>
      <c r="F3" s="372"/>
      <c r="G3" s="377" t="s">
        <v>18</v>
      </c>
      <c r="H3" s="378"/>
      <c r="I3" s="378"/>
      <c r="J3" s="379"/>
      <c r="K3" s="115"/>
      <c r="L3" s="376"/>
      <c r="M3" s="219"/>
      <c r="N3"/>
    </row>
    <row r="4" spans="1:14" ht="22.5" customHeight="1">
      <c r="A4" s="213"/>
      <c r="B4" s="364" t="s">
        <v>19</v>
      </c>
      <c r="C4" s="365"/>
      <c r="D4" s="365"/>
      <c r="E4" s="365"/>
      <c r="F4" s="366"/>
      <c r="G4" s="220" t="s">
        <v>20</v>
      </c>
      <c r="H4" s="220" t="s">
        <v>21</v>
      </c>
      <c r="I4" s="220" t="s">
        <v>22</v>
      </c>
      <c r="J4" s="302" t="s">
        <v>23</v>
      </c>
      <c r="K4" s="216"/>
      <c r="L4" s="376"/>
      <c r="M4" s="217"/>
    </row>
    <row r="5" spans="1:14" ht="23.25" customHeight="1">
      <c r="A5" s="213"/>
      <c r="B5" s="367"/>
      <c r="C5" s="368"/>
      <c r="D5" s="368"/>
      <c r="E5" s="368"/>
      <c r="F5" s="369"/>
      <c r="G5" s="221">
        <v>1000</v>
      </c>
      <c r="H5" s="221">
        <v>1100</v>
      </c>
      <c r="I5" s="221">
        <v>1</v>
      </c>
      <c r="J5" s="303"/>
      <c r="K5" s="216"/>
      <c r="L5" s="376"/>
      <c r="M5" s="217"/>
    </row>
    <row r="6" spans="1:14" s="100" customFormat="1" ht="10.5" customHeight="1">
      <c r="A6" s="218"/>
      <c r="K6" s="115"/>
      <c r="L6" s="376"/>
      <c r="M6" s="219"/>
      <c r="N6"/>
    </row>
    <row r="7" spans="1:14" ht="26.1" customHeight="1">
      <c r="A7" s="213"/>
      <c r="B7" s="360" t="s">
        <v>24</v>
      </c>
      <c r="C7" s="360"/>
      <c r="D7" s="360"/>
      <c r="E7" s="360"/>
      <c r="F7" s="359" t="s">
        <v>25</v>
      </c>
      <c r="G7" s="222" t="s">
        <v>26</v>
      </c>
      <c r="H7" s="359" t="s">
        <v>27</v>
      </c>
      <c r="I7" s="359" t="s">
        <v>28</v>
      </c>
      <c r="J7" s="362" t="s">
        <v>29</v>
      </c>
      <c r="K7" s="216"/>
      <c r="L7" s="376"/>
      <c r="M7" s="217"/>
    </row>
    <row r="8" spans="1:14" ht="19.5" customHeight="1">
      <c r="A8" s="213"/>
      <c r="B8" s="360"/>
      <c r="C8" s="360"/>
      <c r="D8" s="360"/>
      <c r="E8" s="360"/>
      <c r="F8" s="359"/>
      <c r="G8" s="302" t="s">
        <v>22</v>
      </c>
      <c r="H8" s="359"/>
      <c r="I8" s="359"/>
      <c r="J8" s="363"/>
      <c r="K8" s="216"/>
      <c r="L8" s="376"/>
      <c r="M8" s="217"/>
    </row>
    <row r="9" spans="1:14" ht="31.35" customHeight="1">
      <c r="A9" s="213"/>
      <c r="B9" s="361" t="s">
        <v>30</v>
      </c>
      <c r="C9" s="361"/>
      <c r="D9" s="360" t="s">
        <v>31</v>
      </c>
      <c r="E9" s="360"/>
      <c r="F9" s="300">
        <v>229382</v>
      </c>
      <c r="G9" s="301">
        <v>236450010</v>
      </c>
      <c r="H9" s="223">
        <f>IF($G$8&gt;0,G9*HLOOKUP($G$8,$G$4:$J$5,2,0),0)</f>
        <v>236450010</v>
      </c>
      <c r="I9" s="298">
        <f>+H9</f>
        <v>236450010</v>
      </c>
      <c r="J9" s="304" t="s">
        <v>32</v>
      </c>
      <c r="K9" s="216"/>
      <c r="L9" s="376"/>
      <c r="M9" s="217"/>
    </row>
    <row r="10" spans="1:14" ht="30" customHeight="1">
      <c r="A10" s="213"/>
      <c r="B10" s="361"/>
      <c r="C10" s="361"/>
      <c r="D10" s="360" t="s">
        <v>33</v>
      </c>
      <c r="E10" s="360"/>
      <c r="F10" s="300"/>
      <c r="G10" s="301"/>
      <c r="H10" s="223">
        <f>IF($G$8&gt;0,G10*HLOOKUP($G$8,$G$4:$J$5,2,0),0)</f>
        <v>0</v>
      </c>
      <c r="I10" s="298">
        <f>+H10</f>
        <v>0</v>
      </c>
      <c r="J10" s="304"/>
      <c r="K10" s="216"/>
      <c r="L10" s="376"/>
      <c r="M10" s="217"/>
    </row>
    <row r="11" spans="1:14">
      <c r="A11" s="213"/>
      <c r="K11" s="216"/>
      <c r="L11" s="376"/>
      <c r="M11" s="217"/>
    </row>
    <row r="12" spans="1:14" ht="26.1" customHeight="1">
      <c r="A12" s="213"/>
      <c r="B12" s="360" t="s">
        <v>34</v>
      </c>
      <c r="C12" s="360"/>
      <c r="D12" s="360"/>
      <c r="E12" s="360"/>
      <c r="F12" s="359" t="s">
        <v>25</v>
      </c>
      <c r="G12" s="222" t="s">
        <v>26</v>
      </c>
      <c r="H12" s="359" t="s">
        <v>27</v>
      </c>
      <c r="I12" s="359" t="s">
        <v>28</v>
      </c>
      <c r="J12" s="362" t="s">
        <v>29</v>
      </c>
      <c r="K12" s="216"/>
      <c r="L12" s="376"/>
      <c r="M12" s="217"/>
    </row>
    <row r="13" spans="1:14" ht="23.25" customHeight="1">
      <c r="A13" s="213"/>
      <c r="B13" s="360"/>
      <c r="C13" s="360"/>
      <c r="D13" s="360"/>
      <c r="E13" s="360"/>
      <c r="F13" s="359"/>
      <c r="G13" s="302" t="s">
        <v>21</v>
      </c>
      <c r="H13" s="359"/>
      <c r="I13" s="359"/>
      <c r="J13" s="363"/>
      <c r="K13" s="216"/>
      <c r="L13" s="376"/>
      <c r="M13" s="217"/>
    </row>
    <row r="14" spans="1:14" ht="30" customHeight="1">
      <c r="A14" s="213"/>
      <c r="B14" s="361" t="s">
        <v>30</v>
      </c>
      <c r="C14" s="361"/>
      <c r="D14" s="360" t="s">
        <v>35</v>
      </c>
      <c r="E14" s="360"/>
      <c r="F14" s="300"/>
      <c r="G14" s="301"/>
      <c r="H14" s="223">
        <f>IF($G$13&gt;0,G14*HLOOKUP($G$13,$G$4:$J$5,2,0),0)</f>
        <v>0</v>
      </c>
      <c r="I14" s="223">
        <f>+H14</f>
        <v>0</v>
      </c>
      <c r="J14" s="304"/>
      <c r="K14" s="216"/>
      <c r="L14" s="376"/>
      <c r="M14" s="217"/>
    </row>
    <row r="15" spans="1:14" ht="30" customHeight="1">
      <c r="A15" s="213"/>
      <c r="B15" s="361"/>
      <c r="C15" s="361"/>
      <c r="D15" s="360" t="s">
        <v>36</v>
      </c>
      <c r="E15" s="360"/>
      <c r="F15" s="300"/>
      <c r="G15" s="301"/>
      <c r="H15" s="223">
        <f t="shared" ref="H15:H23" si="0">IF($G$13&gt;0,G15*HLOOKUP($G$13,$G$4:$J$5,2,0),0)</f>
        <v>0</v>
      </c>
      <c r="I15" s="223">
        <f>+I14+H15</f>
        <v>0</v>
      </c>
      <c r="J15" s="304"/>
      <c r="K15" s="216"/>
      <c r="L15" s="376"/>
      <c r="M15" s="217"/>
    </row>
    <row r="16" spans="1:14" ht="30" customHeight="1">
      <c r="A16" s="213"/>
      <c r="B16" s="361"/>
      <c r="C16" s="361"/>
      <c r="D16" s="360" t="s">
        <v>37</v>
      </c>
      <c r="E16" s="360"/>
      <c r="F16" s="300"/>
      <c r="G16" s="301"/>
      <c r="H16" s="223">
        <f t="shared" si="0"/>
        <v>0</v>
      </c>
      <c r="I16" s="223">
        <f t="shared" ref="I16:I23" si="1">+I15+H16</f>
        <v>0</v>
      </c>
      <c r="J16" s="304"/>
      <c r="K16" s="216"/>
      <c r="L16" s="376"/>
      <c r="M16" s="217"/>
    </row>
    <row r="17" spans="1:15" ht="30" customHeight="1">
      <c r="A17" s="213"/>
      <c r="B17" s="361"/>
      <c r="C17" s="361"/>
      <c r="D17" s="360" t="s">
        <v>38</v>
      </c>
      <c r="E17" s="360"/>
      <c r="F17" s="300"/>
      <c r="G17" s="301"/>
      <c r="H17" s="223">
        <f t="shared" si="0"/>
        <v>0</v>
      </c>
      <c r="I17" s="223">
        <f t="shared" si="1"/>
        <v>0</v>
      </c>
      <c r="J17" s="304"/>
      <c r="K17" s="216"/>
      <c r="L17" s="376"/>
      <c r="M17" s="217"/>
    </row>
    <row r="18" spans="1:15" ht="30" customHeight="1">
      <c r="A18" s="213"/>
      <c r="B18" s="361"/>
      <c r="C18" s="361"/>
      <c r="D18" s="360" t="s">
        <v>39</v>
      </c>
      <c r="E18" s="360"/>
      <c r="F18" s="300"/>
      <c r="G18" s="301"/>
      <c r="H18" s="223">
        <f t="shared" si="0"/>
        <v>0</v>
      </c>
      <c r="I18" s="223">
        <f>+I17+H18</f>
        <v>0</v>
      </c>
      <c r="J18" s="304"/>
      <c r="K18" s="216"/>
      <c r="L18" s="376"/>
      <c r="M18" s="217"/>
    </row>
    <row r="19" spans="1:15" ht="30" customHeight="1">
      <c r="A19" s="213"/>
      <c r="B19" s="361"/>
      <c r="C19" s="361"/>
      <c r="D19" s="360" t="s">
        <v>40</v>
      </c>
      <c r="E19" s="360"/>
      <c r="F19" s="300"/>
      <c r="G19" s="301"/>
      <c r="H19" s="223">
        <f t="shared" si="0"/>
        <v>0</v>
      </c>
      <c r="I19" s="223">
        <f t="shared" si="1"/>
        <v>0</v>
      </c>
      <c r="J19" s="304"/>
      <c r="K19" s="216"/>
      <c r="L19" s="376"/>
      <c r="M19" s="217"/>
    </row>
    <row r="20" spans="1:15" ht="30" customHeight="1">
      <c r="A20" s="213"/>
      <c r="B20" s="361"/>
      <c r="C20" s="361"/>
      <c r="D20" s="360" t="s">
        <v>41</v>
      </c>
      <c r="E20" s="360"/>
      <c r="F20" s="300"/>
      <c r="G20" s="301"/>
      <c r="H20" s="223">
        <f t="shared" si="0"/>
        <v>0</v>
      </c>
      <c r="I20" s="223">
        <f t="shared" si="1"/>
        <v>0</v>
      </c>
      <c r="J20" s="304"/>
      <c r="K20" s="216"/>
      <c r="L20" s="376"/>
      <c r="M20" s="217"/>
    </row>
    <row r="21" spans="1:15" ht="30" customHeight="1">
      <c r="A21" s="213"/>
      <c r="B21" s="361"/>
      <c r="C21" s="361"/>
      <c r="D21" s="360" t="s">
        <v>42</v>
      </c>
      <c r="E21" s="360"/>
      <c r="F21" s="300"/>
      <c r="G21" s="301"/>
      <c r="H21" s="223">
        <f t="shared" si="0"/>
        <v>0</v>
      </c>
      <c r="I21" s="223">
        <f t="shared" si="1"/>
        <v>0</v>
      </c>
      <c r="J21" s="304"/>
      <c r="K21" s="216"/>
      <c r="L21" s="376"/>
      <c r="M21" s="217"/>
    </row>
    <row r="22" spans="1:15" ht="30" customHeight="1">
      <c r="A22" s="213"/>
      <c r="B22" s="361"/>
      <c r="C22" s="361"/>
      <c r="D22" s="360" t="s">
        <v>43</v>
      </c>
      <c r="E22" s="360"/>
      <c r="F22" s="300"/>
      <c r="G22" s="301"/>
      <c r="H22" s="223">
        <f t="shared" si="0"/>
        <v>0</v>
      </c>
      <c r="I22" s="223">
        <f t="shared" si="1"/>
        <v>0</v>
      </c>
      <c r="J22" s="304"/>
      <c r="K22" s="216"/>
      <c r="L22" s="376"/>
      <c r="M22" s="217"/>
    </row>
    <row r="23" spans="1:15" ht="30" customHeight="1">
      <c r="A23" s="213"/>
      <c r="B23" s="361"/>
      <c r="C23" s="361"/>
      <c r="D23" s="360" t="s">
        <v>44</v>
      </c>
      <c r="E23" s="360"/>
      <c r="F23" s="300"/>
      <c r="G23" s="301"/>
      <c r="H23" s="223">
        <f t="shared" si="0"/>
        <v>0</v>
      </c>
      <c r="I23" s="223">
        <f t="shared" si="1"/>
        <v>0</v>
      </c>
      <c r="J23" s="304"/>
      <c r="K23" s="216"/>
      <c r="L23" s="376"/>
      <c r="M23" s="217"/>
    </row>
    <row r="24" spans="1:15" ht="30" customHeight="1">
      <c r="A24" s="213"/>
      <c r="B24" s="361"/>
      <c r="C24" s="361"/>
      <c r="D24" s="360" t="s">
        <v>33</v>
      </c>
      <c r="E24" s="360"/>
      <c r="F24" s="300"/>
      <c r="G24" s="301"/>
      <c r="H24" s="223">
        <f>IF($G$13&gt;0,G24*HLOOKUP($G$13,$G$4:$J$5,2,0),0)</f>
        <v>0</v>
      </c>
      <c r="I24" s="223">
        <f>+H24</f>
        <v>0</v>
      </c>
      <c r="J24" s="304"/>
      <c r="K24" s="216"/>
      <c r="L24" s="376"/>
      <c r="M24" s="217"/>
    </row>
    <row r="25" spans="1:15" ht="12.75" customHeight="1">
      <c r="A25" s="213"/>
      <c r="B25" s="353"/>
      <c r="C25" s="353"/>
      <c r="D25" s="353"/>
      <c r="E25" s="353"/>
      <c r="F25" s="353"/>
      <c r="G25" s="353"/>
      <c r="H25" s="353"/>
      <c r="I25" s="353"/>
      <c r="J25" s="353"/>
      <c r="K25" s="216"/>
      <c r="L25" s="354"/>
      <c r="M25" s="217"/>
    </row>
    <row r="26" spans="1:15" ht="27.75" customHeight="1">
      <c r="A26" s="348"/>
      <c r="B26" s="373" t="s">
        <v>45</v>
      </c>
      <c r="C26" s="373"/>
      <c r="D26" s="373"/>
      <c r="E26" s="373"/>
      <c r="F26" s="373"/>
      <c r="G26" s="373"/>
      <c r="H26" s="373"/>
      <c r="I26" s="373"/>
      <c r="J26" s="373"/>
      <c r="K26" s="373"/>
      <c r="L26" s="373"/>
      <c r="M26" s="373"/>
      <c r="O26" s="349"/>
    </row>
    <row r="27" spans="1:15" ht="272.10000000000002" customHeight="1">
      <c r="A27" s="213"/>
      <c r="B27" s="374" t="s">
        <v>46</v>
      </c>
      <c r="C27" s="375"/>
      <c r="D27" s="375"/>
      <c r="E27" s="375"/>
      <c r="F27" s="375"/>
      <c r="G27" s="375"/>
      <c r="H27" s="375"/>
      <c r="I27" s="375"/>
      <c r="J27" s="375"/>
      <c r="K27" s="375"/>
      <c r="L27" s="375"/>
      <c r="M27" s="355"/>
    </row>
    <row r="28" spans="1:15">
      <c r="A28" s="350"/>
      <c r="B28" s="351"/>
      <c r="C28" s="351"/>
      <c r="D28" s="351"/>
      <c r="E28" s="351"/>
      <c r="F28" s="351"/>
      <c r="G28" s="352"/>
      <c r="H28" s="352"/>
      <c r="I28" s="352"/>
      <c r="J28" s="352"/>
      <c r="K28" s="352"/>
      <c r="L28" s="352"/>
      <c r="M28" s="352"/>
    </row>
    <row r="30" spans="1:15">
      <c r="B30" s="357"/>
      <c r="C30" s="357"/>
      <c r="D30" s="357"/>
      <c r="E30" s="357"/>
      <c r="F30" s="357"/>
      <c r="G30" s="357"/>
      <c r="H30" s="357"/>
      <c r="I30" s="357"/>
      <c r="J30" s="357"/>
      <c r="K30" s="357"/>
      <c r="L30" s="357"/>
    </row>
    <row r="31" spans="1:15">
      <c r="B31" s="357"/>
      <c r="C31" s="357"/>
      <c r="D31" s="357"/>
      <c r="E31" s="357"/>
      <c r="F31" s="357"/>
      <c r="G31" s="357"/>
      <c r="H31" s="357"/>
      <c r="I31" s="357"/>
      <c r="J31" s="357"/>
      <c r="K31" s="357"/>
      <c r="L31" s="357"/>
    </row>
    <row r="32" spans="1:15">
      <c r="B32" s="357"/>
      <c r="C32" s="357"/>
      <c r="D32" s="357"/>
      <c r="E32" s="357"/>
      <c r="F32" s="357"/>
      <c r="G32" s="357"/>
      <c r="H32" s="357"/>
      <c r="I32" s="357"/>
      <c r="J32" s="357"/>
      <c r="K32" s="357"/>
      <c r="L32" s="357"/>
    </row>
    <row r="33" spans="2:13">
      <c r="B33" s="357"/>
      <c r="C33" s="357"/>
      <c r="D33" s="357"/>
      <c r="E33" s="357"/>
      <c r="F33" s="357"/>
      <c r="G33" s="357"/>
      <c r="H33" s="357"/>
      <c r="I33" s="357"/>
      <c r="J33" s="357"/>
      <c r="K33" s="357"/>
      <c r="L33" s="357"/>
    </row>
    <row r="34" spans="2:13">
      <c r="B34" s="357"/>
      <c r="C34" s="357"/>
      <c r="D34" s="357"/>
      <c r="E34" s="357"/>
      <c r="F34" s="357"/>
      <c r="G34" s="357"/>
      <c r="H34" s="357"/>
      <c r="I34" s="357"/>
      <c r="J34" s="357"/>
      <c r="K34" s="357"/>
      <c r="L34" s="357"/>
    </row>
    <row r="35" spans="2:13">
      <c r="B35" s="357"/>
      <c r="C35" s="357"/>
      <c r="D35" s="357"/>
      <c r="E35" s="357"/>
      <c r="F35" s="357"/>
      <c r="G35" s="357"/>
      <c r="H35" s="357"/>
      <c r="I35" s="357"/>
      <c r="J35" s="357"/>
      <c r="K35" s="357"/>
      <c r="L35" s="357"/>
    </row>
    <row r="36" spans="2:13">
      <c r="B36" s="357"/>
      <c r="C36" s="357"/>
      <c r="D36" s="357"/>
      <c r="E36" s="357"/>
      <c r="F36" s="357"/>
      <c r="G36" s="357"/>
      <c r="H36" s="357"/>
      <c r="I36" s="357"/>
      <c r="J36" s="357"/>
      <c r="K36" s="357"/>
      <c r="L36" s="357"/>
    </row>
    <row r="37" spans="2:13">
      <c r="B37" s="357"/>
      <c r="C37" s="357"/>
      <c r="D37" s="357"/>
      <c r="E37" s="357"/>
      <c r="F37" s="357"/>
      <c r="G37" s="357"/>
      <c r="H37" s="357"/>
      <c r="I37" s="357"/>
      <c r="J37" s="357"/>
      <c r="K37" s="357"/>
      <c r="L37" s="357"/>
    </row>
    <row r="38" spans="2:13">
      <c r="B38" s="357"/>
      <c r="C38" s="357"/>
      <c r="D38" s="357"/>
      <c r="E38" s="357"/>
      <c r="F38" s="357"/>
      <c r="G38" s="357"/>
      <c r="H38" s="357"/>
      <c r="I38" s="357"/>
      <c r="J38" s="357"/>
      <c r="K38" s="357"/>
      <c r="L38" s="357"/>
    </row>
    <row r="39" spans="2:13">
      <c r="B39" s="357"/>
      <c r="C39" s="357"/>
      <c r="D39" s="357"/>
      <c r="E39" s="357"/>
      <c r="F39" s="357"/>
      <c r="G39" s="357"/>
      <c r="H39" s="357"/>
      <c r="I39" s="357"/>
      <c r="J39" s="357"/>
      <c r="K39" s="357"/>
      <c r="L39" s="357"/>
    </row>
    <row r="40" spans="2:13">
      <c r="B40" s="357"/>
      <c r="C40" s="357"/>
      <c r="D40" s="357"/>
      <c r="E40" s="357"/>
      <c r="F40" s="357"/>
      <c r="G40" s="357"/>
      <c r="H40" s="357"/>
      <c r="I40" s="357"/>
      <c r="J40" s="357"/>
      <c r="K40" s="357"/>
      <c r="L40" s="357"/>
    </row>
    <row r="41" spans="2:13">
      <c r="B41" s="357"/>
      <c r="C41" s="357"/>
      <c r="D41" s="357"/>
      <c r="E41" s="357"/>
      <c r="F41" s="357"/>
      <c r="G41" s="357"/>
      <c r="H41" s="357"/>
      <c r="I41" s="357"/>
      <c r="J41" s="357"/>
      <c r="K41" s="357"/>
      <c r="L41" s="357"/>
    </row>
    <row r="45" spans="2:13">
      <c r="M45" s="100"/>
    </row>
    <row r="48" spans="2:13">
      <c r="M48" s="100"/>
    </row>
  </sheetData>
  <sheetProtection algorithmName="SHA-512" hashValue="Zjytrngzus/BIQ+Op25Rf0SIta8yD6bNHMBRSevlFZNciGvXSmACrTyp8VAZLt3MaZ6ht+OJL2GjDpMxsBTf5g==" saltValue="+JHwRJvlSBPSSPYXt9HTnA==" spinCount="100000" sheet="1" formatCells="0" formatColumns="0" formatRows="0" insertRows="0"/>
  <mergeCells count="44">
    <mergeCell ref="B26:M26"/>
    <mergeCell ref="I12:I13"/>
    <mergeCell ref="B27:L27"/>
    <mergeCell ref="L2:L24"/>
    <mergeCell ref="I7:I8"/>
    <mergeCell ref="D15:E15"/>
    <mergeCell ref="D16:E16"/>
    <mergeCell ref="D17:E17"/>
    <mergeCell ref="D18:E18"/>
    <mergeCell ref="D19:E19"/>
    <mergeCell ref="D20:E20"/>
    <mergeCell ref="D21:E21"/>
    <mergeCell ref="G3:J3"/>
    <mergeCell ref="D22:E22"/>
    <mergeCell ref="D23:E23"/>
    <mergeCell ref="J12:J13"/>
    <mergeCell ref="B1:J1"/>
    <mergeCell ref="H7:H8"/>
    <mergeCell ref="F7:F8"/>
    <mergeCell ref="D14:E14"/>
    <mergeCell ref="B14:C24"/>
    <mergeCell ref="B9:C10"/>
    <mergeCell ref="D9:E9"/>
    <mergeCell ref="B7:E8"/>
    <mergeCell ref="D10:E10"/>
    <mergeCell ref="H12:H13"/>
    <mergeCell ref="F12:F13"/>
    <mergeCell ref="B12:E13"/>
    <mergeCell ref="J7:J8"/>
    <mergeCell ref="B4:F5"/>
    <mergeCell ref="D24:E24"/>
    <mergeCell ref="B3:F3"/>
    <mergeCell ref="B41:L41"/>
    <mergeCell ref="B35:L35"/>
    <mergeCell ref="B36:L36"/>
    <mergeCell ref="B37:L37"/>
    <mergeCell ref="B38:L38"/>
    <mergeCell ref="B39:L39"/>
    <mergeCell ref="B40:L40"/>
    <mergeCell ref="B31:L31"/>
    <mergeCell ref="B32:L32"/>
    <mergeCell ref="B33:L33"/>
    <mergeCell ref="B34:L34"/>
    <mergeCell ref="B30:L30"/>
  </mergeCells>
  <phoneticPr fontId="61" type="noConversion"/>
  <dataValidations count="2">
    <dataValidation type="custom" allowBlank="1" showInputMessage="1" showErrorMessage="1" sqref="H9:H10 H14:H24" xr:uid="{00000000-0002-0000-0100-000000000000}">
      <formula1>H9</formula1>
    </dataValidation>
    <dataValidation type="list" allowBlank="1" showInputMessage="1" showErrorMessage="1" sqref="G8 G13" xr:uid="{00000000-0002-0000-0100-000001000000}">
      <formula1>$G$4:$J$4</formula1>
    </dataValidation>
  </dataValidations>
  <printOptions horizontalCentered="1"/>
  <pageMargins left="0" right="0" top="0.78740157480314965" bottom="0.78740157480314965" header="0" footer="0.39370078740157483"/>
  <pageSetup paperSize="5" scale="70" orientation="landscape" r:id="rId1"/>
  <headerFooter alignWithMargins="0">
    <oddFooter>&amp;L&amp;A - &amp;F
&amp;D</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1:P32"/>
  <sheetViews>
    <sheetView showGridLines="0" topLeftCell="B6" zoomScale="85" zoomScaleNormal="85" zoomScaleSheetLayoutView="80" workbookViewId="0">
      <selection activeCell="E17" sqref="E17"/>
    </sheetView>
  </sheetViews>
  <sheetFormatPr defaultColWidth="11.42578125" defaultRowHeight="15.95"/>
  <cols>
    <col min="1" max="1" width="0" style="82" hidden="1" customWidth="1"/>
    <col min="2" max="2" width="3.28515625" style="82" customWidth="1"/>
    <col min="3" max="3" width="53.7109375" style="82" customWidth="1"/>
    <col min="4" max="4" width="50.7109375" style="82" customWidth="1"/>
    <col min="5" max="5" width="21.140625" style="84" customWidth="1"/>
    <col min="6" max="7" width="3.28515625" style="82" customWidth="1"/>
    <col min="8" max="8" width="36.85546875" style="82" customWidth="1"/>
    <col min="9" max="9" width="3.28515625" style="82" customWidth="1"/>
    <col min="10" max="10" width="12.28515625" style="82" customWidth="1"/>
    <col min="11" max="11" width="48.140625" style="82" customWidth="1"/>
    <col min="12" max="12" width="17.7109375" style="82" customWidth="1"/>
    <col min="13" max="16" width="13.85546875" style="100" hidden="1" customWidth="1"/>
    <col min="17" max="17" width="0" style="82" hidden="1" customWidth="1"/>
    <col min="18" max="16384" width="11.42578125" style="82"/>
  </cols>
  <sheetData>
    <row r="1" spans="2:16" hidden="1"/>
    <row r="2" spans="2:16" hidden="1"/>
    <row r="3" spans="2:16" hidden="1"/>
    <row r="4" spans="2:16" hidden="1"/>
    <row r="5" spans="2:16" hidden="1"/>
    <row r="6" spans="2:16" ht="10.35" customHeight="1">
      <c r="B6" s="170"/>
      <c r="C6" s="116"/>
      <c r="D6" s="116"/>
      <c r="E6" s="113"/>
      <c r="F6" s="171"/>
      <c r="G6" s="116"/>
      <c r="H6" s="116"/>
      <c r="I6" s="171"/>
      <c r="M6" s="172">
        <f>E9+E10</f>
        <v>236450010</v>
      </c>
      <c r="N6" s="172">
        <f>(E9+E10)*10%</f>
        <v>23645001</v>
      </c>
      <c r="O6" s="172">
        <f>IF($M$6&gt;$M$7,$M$6-N6-400000000,0)</f>
        <v>0</v>
      </c>
      <c r="P6" s="172">
        <f>O6+N6</f>
        <v>23645001</v>
      </c>
    </row>
    <row r="7" spans="2:16" ht="15" customHeight="1">
      <c r="B7" s="173"/>
      <c r="C7" s="207" t="s">
        <v>47</v>
      </c>
      <c r="D7" s="174"/>
      <c r="E7" s="109" t="s">
        <v>48</v>
      </c>
      <c r="F7" s="171"/>
      <c r="G7" s="116"/>
      <c r="H7" s="175" t="s">
        <v>49</v>
      </c>
      <c r="I7" s="171"/>
      <c r="M7" s="176">
        <f>+(M8*N7)/N8</f>
        <v>444444444.44444442</v>
      </c>
      <c r="N7" s="177">
        <v>1</v>
      </c>
      <c r="P7" s="178">
        <f>+E9+E10-E16-E17</f>
        <v>218950010</v>
      </c>
    </row>
    <row r="8" spans="2:16" ht="9.6" customHeight="1" thickBot="1">
      <c r="B8" s="179"/>
      <c r="C8" s="116"/>
      <c r="D8" s="116"/>
      <c r="E8" s="113"/>
      <c r="F8" s="171"/>
      <c r="G8" s="116"/>
      <c r="H8" s="116"/>
      <c r="I8" s="171"/>
      <c r="M8" s="180">
        <v>400000000</v>
      </c>
      <c r="N8" s="181">
        <v>0.9</v>
      </c>
      <c r="P8" s="178">
        <f>IF($P$7&gt;$M$8,$P$7-$M$8,0)</f>
        <v>0</v>
      </c>
    </row>
    <row r="9" spans="2:16" ht="42" customHeight="1">
      <c r="B9" s="179"/>
      <c r="C9" s="383" t="s">
        <v>50</v>
      </c>
      <c r="D9" s="319" t="s">
        <v>51</v>
      </c>
      <c r="E9" s="320">
        <v>236450010</v>
      </c>
      <c r="F9" s="171"/>
      <c r="G9" s="116"/>
      <c r="H9" s="381" t="str">
        <f>IF($M$6&gt;=50000000,"Total de A. Equipamiento cumple con el Monto Mínimo.-","Monto Total de A. Equipamiento debe ser igual o mayor a $50.000.000.-")</f>
        <v>Total de A. Equipamiento cumple con el Monto Mínimo.-</v>
      </c>
      <c r="I9" s="182"/>
      <c r="K9" s="384" t="s">
        <v>52</v>
      </c>
      <c r="M9"/>
      <c r="N9"/>
    </row>
    <row r="10" spans="2:16" ht="42" customHeight="1" thickBot="1">
      <c r="B10" s="179"/>
      <c r="C10" s="383"/>
      <c r="D10" s="321" t="s">
        <v>53</v>
      </c>
      <c r="E10" s="320">
        <v>0</v>
      </c>
      <c r="F10" s="171"/>
      <c r="G10" s="116"/>
      <c r="H10" s="382"/>
      <c r="I10" s="182"/>
      <c r="K10" s="385"/>
    </row>
    <row r="11" spans="2:16" ht="10.35" customHeight="1">
      <c r="B11" s="170"/>
      <c r="C11" s="116"/>
      <c r="D11" s="116"/>
      <c r="E11" s="183"/>
      <c r="F11" s="171"/>
      <c r="G11" s="116"/>
      <c r="H11" s="116"/>
      <c r="I11" s="171"/>
    </row>
    <row r="12" spans="2:16" ht="10.35" customHeight="1" thickBot="1">
      <c r="B12" s="184"/>
      <c r="C12" s="185"/>
      <c r="D12" s="185"/>
      <c r="E12" s="186"/>
      <c r="F12" s="187"/>
      <c r="G12" s="185"/>
      <c r="H12" s="185"/>
      <c r="I12" s="187"/>
    </row>
    <row r="13" spans="2:16" ht="10.35" customHeight="1" thickTop="1">
      <c r="B13" s="188"/>
      <c r="C13" s="116"/>
      <c r="D13" s="116"/>
      <c r="E13" s="189"/>
      <c r="F13" s="171"/>
      <c r="G13" s="116"/>
      <c r="H13" s="116"/>
      <c r="I13" s="190"/>
    </row>
    <row r="14" spans="2:16" ht="17.100000000000001" customHeight="1">
      <c r="B14" s="173"/>
      <c r="C14" s="207" t="s">
        <v>54</v>
      </c>
      <c r="D14" s="174"/>
      <c r="E14" s="109" t="s">
        <v>48</v>
      </c>
      <c r="F14" s="171"/>
      <c r="G14" s="116"/>
      <c r="H14" s="175"/>
      <c r="I14" s="171"/>
      <c r="M14"/>
      <c r="N14"/>
      <c r="O14"/>
      <c r="P14"/>
    </row>
    <row r="15" spans="2:16" ht="10.35" customHeight="1">
      <c r="B15" s="179"/>
      <c r="C15" s="116"/>
      <c r="D15" s="116"/>
      <c r="E15" s="113"/>
      <c r="F15" s="171"/>
      <c r="G15" s="116"/>
      <c r="H15" s="116"/>
      <c r="I15" s="171"/>
      <c r="M15"/>
      <c r="N15"/>
      <c r="O15"/>
      <c r="P15"/>
    </row>
    <row r="16" spans="2:16" ht="42" customHeight="1">
      <c r="B16" s="191"/>
      <c r="C16" s="386" t="s">
        <v>55</v>
      </c>
      <c r="D16" s="319" t="s">
        <v>51</v>
      </c>
      <c r="E16" s="323">
        <v>17500000</v>
      </c>
      <c r="F16" s="182"/>
      <c r="G16" s="192"/>
      <c r="H16" s="388" t="str">
        <f>IF($M$6=0," ",IF((SUM($E$16:$E$21)&gt;=$P$6)*AND($E$22=0)*AND($E$23=0)*AND($M$6&gt;=50000000),"Aporte Pecuniario Institucional cumple con el 10% de A. Equipamiento.-",IF(($M$6&gt;$M$8)*OR($P$8&gt;0),"¡¡¡ Importante !!!                                      Considere que FONDEQUIP aporta un máximo de $400.000.000 por proyecto, por lo tanto, la diferencia que se produzca en A. EQUIPAMIENTO debe ser cubierta con Aporte Pecuniario Institucional.",IF($M$6&gt;=50000000,"Debe Ingresar, al menos, el 10% del costo de A. Equipamiento en los sub-ítems correspondientes.-"," "))))</f>
        <v>Aporte Pecuniario Institucional cumple con el 10% de A. Equipamiento.-</v>
      </c>
      <c r="I16" s="182"/>
      <c r="K16" s="373" t="s">
        <v>56</v>
      </c>
      <c r="M16"/>
      <c r="N16"/>
      <c r="O16"/>
      <c r="P16"/>
    </row>
    <row r="17" spans="2:16" ht="42" customHeight="1">
      <c r="B17" s="191"/>
      <c r="C17" s="387"/>
      <c r="D17" s="321" t="s">
        <v>53</v>
      </c>
      <c r="E17" s="323">
        <v>0</v>
      </c>
      <c r="F17" s="182"/>
      <c r="G17" s="192"/>
      <c r="H17" s="388"/>
      <c r="I17" s="182"/>
      <c r="K17" s="373"/>
      <c r="M17"/>
      <c r="N17"/>
      <c r="O17"/>
      <c r="P17"/>
    </row>
    <row r="18" spans="2:16" ht="42" customHeight="1">
      <c r="B18" s="191"/>
      <c r="C18" s="387"/>
      <c r="D18" s="322" t="s">
        <v>57</v>
      </c>
      <c r="E18" s="323">
        <v>0</v>
      </c>
      <c r="F18" s="182"/>
      <c r="G18" s="192"/>
      <c r="H18" s="388"/>
      <c r="I18" s="182"/>
      <c r="K18" s="373"/>
      <c r="M18"/>
      <c r="N18"/>
      <c r="O18"/>
      <c r="P18"/>
    </row>
    <row r="19" spans="2:16" ht="42" customHeight="1">
      <c r="B19" s="191"/>
      <c r="C19" s="387"/>
      <c r="D19" s="324" t="s">
        <v>58</v>
      </c>
      <c r="E19" s="323">
        <v>0</v>
      </c>
      <c r="F19" s="182"/>
      <c r="G19" s="192"/>
      <c r="H19" s="388"/>
      <c r="I19" s="182"/>
      <c r="K19" s="373"/>
      <c r="M19"/>
      <c r="N19"/>
      <c r="O19"/>
      <c r="P19"/>
    </row>
    <row r="20" spans="2:16" ht="42" customHeight="1">
      <c r="B20" s="191"/>
      <c r="C20" s="387"/>
      <c r="D20" s="319" t="s">
        <v>59</v>
      </c>
      <c r="E20" s="323">
        <v>0</v>
      </c>
      <c r="F20" s="182"/>
      <c r="G20" s="192"/>
      <c r="H20" s="388"/>
      <c r="I20" s="182"/>
      <c r="K20" s="373"/>
      <c r="M20"/>
      <c r="N20"/>
      <c r="O20"/>
      <c r="P20"/>
    </row>
    <row r="21" spans="2:16" ht="42" customHeight="1">
      <c r="B21" s="191"/>
      <c r="C21" s="387"/>
      <c r="D21" s="324" t="s">
        <v>60</v>
      </c>
      <c r="E21" s="323">
        <f>5551910*1.19</f>
        <v>6606772.8999999994</v>
      </c>
      <c r="F21" s="182"/>
      <c r="G21" s="192"/>
      <c r="H21" s="388"/>
      <c r="I21" s="182"/>
      <c r="K21" s="373"/>
      <c r="M21"/>
      <c r="N21"/>
      <c r="O21"/>
      <c r="P21"/>
    </row>
    <row r="22" spans="2:16" ht="15" customHeight="1">
      <c r="B22" s="191"/>
      <c r="C22" s="116"/>
      <c r="D22" s="193" t="str">
        <f>IF($E$22&gt;0,"Saldo para el 10% mínimo de Aporte Pecuniario","  ")</f>
        <v xml:space="preserve">  </v>
      </c>
      <c r="E22" s="194">
        <f>IF($E$23&gt;0,0,IF(SUM($E$16:$E$21)&lt;$N$6,($N$6-SUM($E$16:$E$21)),0))</f>
        <v>0</v>
      </c>
      <c r="F22" s="171"/>
      <c r="G22" s="116"/>
      <c r="H22" s="116"/>
      <c r="I22" s="182"/>
      <c r="M22"/>
      <c r="N22"/>
      <c r="O22"/>
      <c r="P22"/>
    </row>
    <row r="23" spans="2:16" ht="18.600000000000001" customHeight="1" thickBot="1">
      <c r="B23" s="195"/>
      <c r="C23" s="185"/>
      <c r="D23" s="196" t="str">
        <f>IF($E$23&gt;0,"Saldo para A. EQUIPAMIENTO"," ")</f>
        <v xml:space="preserve"> </v>
      </c>
      <c r="E23" s="197">
        <f>IF($P$8&gt;0,$P$8,0)</f>
        <v>0</v>
      </c>
      <c r="F23" s="187"/>
      <c r="G23" s="185"/>
      <c r="H23" s="185"/>
      <c r="I23" s="198"/>
      <c r="M23" s="82"/>
      <c r="N23" s="82"/>
      <c r="O23" s="82"/>
      <c r="P23" s="82"/>
    </row>
    <row r="24" spans="2:16" ht="10.35" customHeight="1" thickTop="1" thickBot="1">
      <c r="B24" s="188"/>
      <c r="C24" s="116"/>
      <c r="D24" s="116"/>
      <c r="E24" s="189"/>
      <c r="F24" s="171"/>
      <c r="G24" s="116"/>
      <c r="H24" s="116"/>
      <c r="I24" s="182"/>
      <c r="M24"/>
      <c r="N24"/>
      <c r="O24"/>
      <c r="P24"/>
    </row>
    <row r="25" spans="2:16" ht="65.25" customHeight="1">
      <c r="B25" s="188"/>
      <c r="C25" s="342" t="str">
        <f>IF(E25&gt;0,"APORTE SOLICITADO A FONDEQUIP PARA EQUIPAMIENTO","")</f>
        <v>APORTE SOLICITADO A FONDEQUIP PARA EQUIPAMIENTO</v>
      </c>
      <c r="D25" s="325" t="str">
        <f>IF(E25&gt;0,"Equipo Principal o Plataforma y/o Accesorio(s)","")</f>
        <v>Equipo Principal o Plataforma y/o Accesorio(s)</v>
      </c>
      <c r="E25" s="326">
        <f>IF(AND(M6&gt;=50000000,H16="Aporte Pecuniario Institucional cumple con el 10% de A. Equipamiento.-"),E9+E10-E16-E17,0)</f>
        <v>218950010</v>
      </c>
      <c r="F25" s="171"/>
      <c r="G25" s="116"/>
      <c r="H25" s="199" t="str">
        <f>IF(OR(E25&lt;=0,(E9+E10)&lt;50000000)," ",IF($E$25&gt;400000000,"El aporte solicitado supera el monto máximo a financiar FONDEQUIP, por lo tanto, debe complementar el Aporte Pecuniario en A. EQUIPAMIENTO.-",IF($H$16="Aporte Pecuniario Institucional cumple con el 10% de A. Equipamiento.-","Aporte Solicitado a FONDEQUIP OK")))</f>
        <v>Aporte Solicitado a FONDEQUIP OK</v>
      </c>
      <c r="I25" s="171"/>
      <c r="K25" s="200" t="s">
        <v>61</v>
      </c>
    </row>
    <row r="26" spans="2:16" ht="10.35" customHeight="1">
      <c r="B26" s="188"/>
      <c r="C26" s="116"/>
      <c r="D26" s="116"/>
      <c r="E26" s="113"/>
      <c r="F26" s="171"/>
      <c r="G26" s="116"/>
      <c r="H26" s="116"/>
      <c r="I26" s="171"/>
    </row>
    <row r="27" spans="2:16" ht="17.100000000000001" hidden="1" thickBot="1">
      <c r="B27" s="201"/>
      <c r="C27" s="202"/>
      <c r="D27" s="202"/>
      <c r="E27" s="203"/>
      <c r="F27" s="204"/>
      <c r="G27" s="202"/>
      <c r="H27" s="202"/>
      <c r="I27" s="204"/>
      <c r="J27" s="205"/>
    </row>
    <row r="29" spans="2:16" hidden="1"/>
    <row r="30" spans="2:16" ht="23.25" customHeight="1">
      <c r="C30" s="206"/>
      <c r="K30" s="380" t="str">
        <f>IF(H25="Aporte Solicitado a FONDEQUIP OK","Pase a la siguiente Hoja →    II.- Traslados, Inst. Operación","")</f>
        <v>Pase a la siguiente Hoja →    II.- Traslados, Inst. Operación</v>
      </c>
    </row>
    <row r="31" spans="2:16" ht="15" customHeight="1">
      <c r="H31"/>
      <c r="K31" s="380"/>
    </row>
    <row r="32" spans="2:16" ht="15" customHeight="1">
      <c r="K32" s="380"/>
    </row>
  </sheetData>
  <sheetProtection algorithmName="SHA-512" hashValue="gM+wRCNG76rVph/AvwLlGDjbG3QDj6GL8oLaUBiC8HxigOeocS1JHjisnuOG3DAGsIel342MWZlXSmru0i68jA==" saltValue="eraezE2NTN2n9Ea1d2W90w==" spinCount="100000" sheet="1" selectLockedCells="1"/>
  <mergeCells count="7">
    <mergeCell ref="K30:K32"/>
    <mergeCell ref="H9:H10"/>
    <mergeCell ref="C9:C10"/>
    <mergeCell ref="K9:K10"/>
    <mergeCell ref="C16:C21"/>
    <mergeCell ref="H16:H21"/>
    <mergeCell ref="K16:K21"/>
  </mergeCells>
  <conditionalFormatting sqref="C25">
    <cfRule type="containsText" dxfId="94" priority="35" operator="containsText" text="APORTE SOLICITADO A FONDEQUIP">
      <formula>NOT(ISERROR(SEARCH("APORTE SOLICITADO A FONDEQUIP",C25)))</formula>
    </cfRule>
  </conditionalFormatting>
  <conditionalFormatting sqref="D22">
    <cfRule type="containsText" dxfId="93" priority="20" stopIfTrue="1" operator="containsText" text="Saldo">
      <formula>NOT(ISERROR(SEARCH("Saldo",D22)))</formula>
    </cfRule>
  </conditionalFormatting>
  <conditionalFormatting sqref="D23">
    <cfRule type="containsText" dxfId="92" priority="1" operator="containsText" text="Saldo">
      <formula>NOT(ISERROR(SEARCH("Saldo",D23)))</formula>
    </cfRule>
  </conditionalFormatting>
  <conditionalFormatting sqref="D25">
    <cfRule type="containsText" dxfId="91" priority="36" operator="containsText" text="&quot;&quot;">
      <formula>NOT(ISERROR(SEARCH("""""",D25)))</formula>
    </cfRule>
    <cfRule type="containsText" dxfId="90" priority="37" operator="containsText" text="Equipo Principal">
      <formula>NOT(ISERROR(SEARCH("Equipo Principal",D25)))</formula>
    </cfRule>
  </conditionalFormatting>
  <conditionalFormatting sqref="E22">
    <cfRule type="cellIs" dxfId="89" priority="7" stopIfTrue="1" operator="lessThan">
      <formula>0</formula>
    </cfRule>
    <cfRule type="cellIs" dxfId="88" priority="8" stopIfTrue="1" operator="equal">
      <formula>0</formula>
    </cfRule>
    <cfRule type="cellIs" dxfId="87" priority="9" stopIfTrue="1" operator="notEqual">
      <formula>0</formula>
    </cfRule>
  </conditionalFormatting>
  <conditionalFormatting sqref="E23">
    <cfRule type="cellIs" dxfId="86" priority="2" operator="greaterThan">
      <formula>0</formula>
    </cfRule>
  </conditionalFormatting>
  <conditionalFormatting sqref="E25">
    <cfRule type="cellIs" dxfId="85" priority="19" stopIfTrue="1" operator="equal">
      <formula>0</formula>
    </cfRule>
  </conditionalFormatting>
  <conditionalFormatting sqref="H9:H10">
    <cfRule type="containsText" dxfId="84" priority="17" stopIfTrue="1" operator="containsText" text="cumple">
      <formula>NOT(ISERROR(SEARCH("cumple",H9)))</formula>
    </cfRule>
    <cfRule type="containsText" dxfId="83" priority="18" stopIfTrue="1" operator="containsText" text="Equipamiento">
      <formula>NOT(ISERROR(SEARCH("Equipamiento",H9)))</formula>
    </cfRule>
  </conditionalFormatting>
  <conditionalFormatting sqref="H16:H18">
    <cfRule type="containsText" dxfId="82" priority="14" stopIfTrue="1" operator="containsText" text="Considere que FONDEQUIP">
      <formula>NOT(ISERROR(SEARCH("Considere que FONDEQUIP",H16)))</formula>
    </cfRule>
    <cfRule type="containsText" dxfId="81" priority="15" stopIfTrue="1" operator="containsText" text="Debe Ingresar, al menos, el 10%">
      <formula>NOT(ISERROR(SEARCH("Debe Ingresar, al menos, el 10%",H16)))</formula>
    </cfRule>
    <cfRule type="containsText" dxfId="80" priority="16" stopIfTrue="1" operator="containsText" text="cumple">
      <formula>NOT(ISERROR(SEARCH("cumple",H16)))</formula>
    </cfRule>
  </conditionalFormatting>
  <conditionalFormatting sqref="H25">
    <cfRule type="containsText" dxfId="79" priority="11" stopIfTrue="1" operator="containsText" text="Debe">
      <formula>NOT(ISERROR(SEARCH("Debe",H25)))</formula>
    </cfRule>
    <cfRule type="containsText" dxfId="78" priority="13" stopIfTrue="1" operator="containsText" text="OK">
      <formula>NOT(ISERROR(SEARCH("OK",H25)))</formula>
    </cfRule>
  </conditionalFormatting>
  <conditionalFormatting sqref="I22:I24">
    <cfRule type="expression" dxfId="77" priority="89" stopIfTrue="1">
      <formula>(#REF!+#REF!=0)</formula>
    </cfRule>
    <cfRule type="containsText" dxfId="76" priority="90" stopIfTrue="1" operator="containsText" text="Ingrese Su aporte">
      <formula>NOT(ISERROR(SEARCH("Ingrese Su aporte",I22)))</formula>
    </cfRule>
  </conditionalFormatting>
  <conditionalFormatting sqref="K30:K32">
    <cfRule type="cellIs" dxfId="75" priority="23" stopIfTrue="1" operator="equal">
      <formula>"Aporte Solicitado a CONICYT OK"</formula>
    </cfRule>
  </conditionalFormatting>
  <dataValidations count="1">
    <dataValidation errorStyle="warning" operator="greaterThanOrEqual" allowBlank="1" showInputMessage="1" errorTitle="IMPORTANTE" error="Debe Ingresar, al menos, el 10% del costo del Item Equipamiento.-_x000a_" sqref="E16:E21" xr:uid="{00000000-0002-0000-0200-000000000000}"/>
  </dataValidations>
  <printOptions horizontalCentered="1"/>
  <pageMargins left="0" right="0" top="0.78740157480314965" bottom="0.78740157480314965" header="0" footer="0.59055118110236227"/>
  <pageSetup scale="75" orientation="landscape" r:id="rId1"/>
  <headerFooter alignWithMargins="0">
    <oddFooter>&amp;L&amp;A - &amp;F
&amp;D</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T32"/>
  <sheetViews>
    <sheetView showGridLines="0" tabSelected="1" topLeftCell="C5" zoomScale="147" zoomScaleNormal="147" zoomScaleSheetLayoutView="87" workbookViewId="0">
      <selection activeCell="G27" sqref="G27"/>
    </sheetView>
  </sheetViews>
  <sheetFormatPr defaultColWidth="11.42578125" defaultRowHeight="15"/>
  <cols>
    <col min="1" max="1" width="1.7109375" style="82" hidden="1" customWidth="1"/>
    <col min="2" max="2" width="31.7109375" style="82" hidden="1" customWidth="1"/>
    <col min="3" max="3" width="3.28515625" style="82" customWidth="1"/>
    <col min="4" max="4" width="59.7109375" style="82" customWidth="1"/>
    <col min="5" max="7" width="26.42578125" style="82" customWidth="1"/>
    <col min="8" max="8" width="3.140625" style="82" customWidth="1"/>
    <col min="9" max="9" width="29.7109375" style="82" customWidth="1"/>
    <col min="10" max="10" width="3.7109375" style="82" customWidth="1"/>
    <col min="11" max="11" width="14.85546875" style="82" customWidth="1"/>
    <col min="12" max="13" width="11.42578125" style="82"/>
    <col min="14" max="14" width="11.7109375" style="82" customWidth="1"/>
    <col min="15" max="15" width="11.42578125" style="82"/>
    <col min="16" max="21" width="0" style="82" hidden="1" customWidth="1"/>
    <col min="22" max="16384" width="11.42578125" style="82"/>
  </cols>
  <sheetData>
    <row r="1" spans="1:15" ht="39" hidden="1" customHeight="1"/>
    <row r="2" spans="1:15" s="112" customFormat="1" ht="44.45" customHeight="1" thickBot="1">
      <c r="A2" s="133"/>
      <c r="B2" s="133"/>
      <c r="C2" s="134"/>
      <c r="D2" s="389" t="s">
        <v>62</v>
      </c>
      <c r="E2" s="389"/>
      <c r="F2" s="389"/>
      <c r="G2" s="389"/>
      <c r="H2" s="389"/>
      <c r="I2" s="390"/>
    </row>
    <row r="3" spans="1:15" ht="6.75" customHeight="1" thickTop="1" thickBot="1">
      <c r="A3" s="125"/>
      <c r="B3" s="125"/>
      <c r="C3" s="126"/>
      <c r="D3" s="127"/>
      <c r="E3" s="127"/>
      <c r="F3" s="127"/>
      <c r="G3" s="127"/>
      <c r="H3" s="127"/>
      <c r="I3" s="128"/>
      <c r="J3" s="129"/>
    </row>
    <row r="4" spans="1:15" ht="9.75" hidden="1" customHeight="1" thickBot="1">
      <c r="A4" s="125"/>
      <c r="B4" s="125"/>
      <c r="C4" s="130"/>
      <c r="D4" s="132"/>
      <c r="I4" s="131"/>
    </row>
    <row r="5" spans="1:15" s="135" customFormat="1" ht="19.350000000000001" customHeight="1" thickTop="1" thickBot="1">
      <c r="A5" s="143"/>
      <c r="B5" s="143"/>
      <c r="C5" s="144"/>
      <c r="D5" s="145"/>
      <c r="E5" s="403" t="s">
        <v>63</v>
      </c>
      <c r="F5" s="396" t="s">
        <v>64</v>
      </c>
      <c r="G5" s="397"/>
      <c r="H5" s="146"/>
      <c r="I5" s="147"/>
      <c r="K5" s="406" t="s">
        <v>65</v>
      </c>
      <c r="L5" s="407"/>
      <c r="M5" s="407"/>
      <c r="N5" s="407"/>
    </row>
    <row r="6" spans="1:15" s="135" customFormat="1" ht="19.350000000000001" customHeight="1" thickTop="1" thickBot="1">
      <c r="A6" s="143"/>
      <c r="B6" s="143"/>
      <c r="C6" s="144"/>
      <c r="D6" s="148"/>
      <c r="E6" s="404"/>
      <c r="F6" s="149" t="s">
        <v>66</v>
      </c>
      <c r="G6" s="150" t="s">
        <v>67</v>
      </c>
      <c r="H6" s="151"/>
      <c r="I6" s="147"/>
      <c r="K6" s="405" t="s">
        <v>68</v>
      </c>
      <c r="L6" s="405"/>
      <c r="M6" s="405"/>
      <c r="N6" s="405"/>
      <c r="O6" s="152"/>
    </row>
    <row r="7" spans="1:15" s="135" customFormat="1" ht="32.1" customHeight="1" thickTop="1" thickBot="1">
      <c r="A7" s="143"/>
      <c r="B7" s="143"/>
      <c r="C7" s="153"/>
      <c r="D7" s="306" t="s">
        <v>69</v>
      </c>
      <c r="E7" s="307">
        <f>+'I.- EQUIPAMIENTO'!E9-'I.- EQUIPAMIENTO'!E16</f>
        <v>218950010</v>
      </c>
      <c r="F7" s="307">
        <f>+'DETALLE APORTES'!E7</f>
        <v>17500000</v>
      </c>
      <c r="G7" s="391" t="s">
        <v>70</v>
      </c>
      <c r="H7" s="151"/>
      <c r="I7" s="147"/>
      <c r="K7" s="405"/>
      <c r="L7" s="405"/>
      <c r="M7" s="405"/>
      <c r="N7" s="405"/>
      <c r="O7" s="152"/>
    </row>
    <row r="8" spans="1:15" s="135" customFormat="1" ht="32.1" customHeight="1" thickTop="1" thickBot="1">
      <c r="A8" s="143"/>
      <c r="B8" s="143"/>
      <c r="C8" s="153"/>
      <c r="D8" s="308" t="s">
        <v>71</v>
      </c>
      <c r="E8" s="309">
        <f>+'I.- EQUIPAMIENTO'!E10-'I.- EQUIPAMIENTO'!E17</f>
        <v>0</v>
      </c>
      <c r="F8" s="309">
        <f>+'DETALLE APORTES'!E8</f>
        <v>0</v>
      </c>
      <c r="G8" s="392"/>
      <c r="H8" s="151"/>
      <c r="I8" s="147"/>
      <c r="K8" s="405"/>
      <c r="L8" s="405"/>
      <c r="M8" s="405"/>
      <c r="N8" s="405"/>
      <c r="O8" s="152"/>
    </row>
    <row r="9" spans="1:15" s="135" customFormat="1" ht="32.1" customHeight="1" thickTop="1">
      <c r="A9" s="143"/>
      <c r="B9" s="143"/>
      <c r="C9" s="398"/>
      <c r="D9" s="306" t="s">
        <v>57</v>
      </c>
      <c r="E9" s="305">
        <f>(13040535*1.19)+44925502</f>
        <v>60443738.649999999</v>
      </c>
      <c r="F9" s="305">
        <f>+'DETALLE APORTES'!E9</f>
        <v>0</v>
      </c>
      <c r="G9" s="393"/>
      <c r="H9" s="154"/>
      <c r="I9" s="147"/>
      <c r="K9" s="405" t="s">
        <v>72</v>
      </c>
      <c r="L9" s="405"/>
      <c r="M9" s="405"/>
      <c r="N9" s="405"/>
      <c r="O9" s="152"/>
    </row>
    <row r="10" spans="1:15" s="135" customFormat="1" ht="32.1" customHeight="1">
      <c r="A10" s="143"/>
      <c r="B10" s="143"/>
      <c r="C10" s="398"/>
      <c r="D10" s="308" t="s">
        <v>73</v>
      </c>
      <c r="E10" s="305">
        <v>0</v>
      </c>
      <c r="F10" s="305">
        <f>+'DETALLE APORTES'!E10</f>
        <v>0</v>
      </c>
      <c r="G10" s="305">
        <f>+'DETALLE APORTES'!F10</f>
        <v>1500000</v>
      </c>
      <c r="H10" s="154"/>
      <c r="I10" s="147"/>
      <c r="K10" s="405"/>
      <c r="L10" s="405"/>
      <c r="M10" s="405"/>
      <c r="N10" s="405"/>
    </row>
    <row r="11" spans="1:15" s="135" customFormat="1" ht="32.1" customHeight="1">
      <c r="A11" s="143"/>
      <c r="B11" s="143"/>
      <c r="C11" s="398"/>
      <c r="D11" s="306" t="s">
        <v>58</v>
      </c>
      <c r="E11" s="305">
        <f>((4420966+308439)*1.19)+300000</f>
        <v>5927991.9500000002</v>
      </c>
      <c r="F11" s="305">
        <f>+'DETALLE APORTES'!E11</f>
        <v>0</v>
      </c>
      <c r="G11" s="305">
        <f>+'DETALLE APORTES'!F11</f>
        <v>0</v>
      </c>
      <c r="H11" s="154"/>
      <c r="I11" s="147"/>
      <c r="K11" s="405" t="s">
        <v>74</v>
      </c>
      <c r="L11" s="405"/>
      <c r="M11" s="405"/>
      <c r="N11" s="405"/>
    </row>
    <row r="12" spans="1:15" s="135" customFormat="1" ht="32.1" customHeight="1" thickBot="1">
      <c r="A12" s="143"/>
      <c r="B12" s="143"/>
      <c r="C12" s="398"/>
      <c r="D12" s="310" t="s">
        <v>59</v>
      </c>
      <c r="E12" s="305">
        <f>16020236*1.19</f>
        <v>19064080.84</v>
      </c>
      <c r="F12" s="305">
        <f>+'DETALLE APORTES'!E12</f>
        <v>0</v>
      </c>
      <c r="G12" s="305">
        <f>+'DETALLE APORTES'!F12</f>
        <v>1126793</v>
      </c>
      <c r="H12" s="151"/>
      <c r="I12" s="155" t="str">
        <f>IF(E12+F12+G12=0,"Este Sub-Item debe contemplar Financiamiento","")</f>
        <v/>
      </c>
      <c r="K12" s="405"/>
      <c r="L12" s="405"/>
      <c r="M12" s="405"/>
      <c r="N12" s="405"/>
    </row>
    <row r="13" spans="1:15" s="135" customFormat="1" ht="15.75" customHeight="1" thickBot="1">
      <c r="A13" s="143"/>
      <c r="B13" s="143"/>
      <c r="C13" s="144"/>
      <c r="D13" s="151"/>
      <c r="E13" s="156"/>
      <c r="F13" s="157"/>
      <c r="G13" s="157"/>
      <c r="H13" s="151"/>
      <c r="I13" s="147"/>
      <c r="K13" s="405" t="s">
        <v>75</v>
      </c>
      <c r="L13" s="405"/>
      <c r="M13" s="405"/>
      <c r="N13" s="405"/>
    </row>
    <row r="14" spans="1:15" s="135" customFormat="1" ht="32.1" customHeight="1">
      <c r="A14" s="143"/>
      <c r="B14" s="143"/>
      <c r="C14" s="399"/>
      <c r="D14" s="311" t="s">
        <v>60</v>
      </c>
      <c r="E14" s="394" t="s">
        <v>70</v>
      </c>
      <c r="F14" s="305">
        <f>+'DETALLE APORTES'!E13</f>
        <v>6606772.8999999994</v>
      </c>
      <c r="G14" s="305">
        <f>+'DETALLE APORTES'!F13</f>
        <v>5936880</v>
      </c>
      <c r="H14" s="151"/>
      <c r="I14" s="147"/>
      <c r="J14" s="158"/>
      <c r="K14" s="405"/>
      <c r="L14" s="405"/>
      <c r="M14" s="405"/>
      <c r="N14" s="405"/>
    </row>
    <row r="15" spans="1:15" s="135" customFormat="1" ht="32.1" customHeight="1">
      <c r="A15" s="143"/>
      <c r="B15" s="143"/>
      <c r="C15" s="399"/>
      <c r="D15" s="312" t="s">
        <v>76</v>
      </c>
      <c r="E15" s="394"/>
      <c r="F15" s="305">
        <f>+'DETALLE APORTES'!E14</f>
        <v>0</v>
      </c>
      <c r="G15" s="305">
        <f>+'DETALLE APORTES'!F14</f>
        <v>85610320</v>
      </c>
      <c r="H15" s="151"/>
      <c r="I15" s="147"/>
      <c r="J15" s="158"/>
      <c r="K15" s="405"/>
      <c r="L15" s="405"/>
      <c r="M15" s="405"/>
      <c r="N15" s="405"/>
    </row>
    <row r="16" spans="1:15" s="135" customFormat="1" ht="32.1" customHeight="1" thickBot="1">
      <c r="A16" s="143"/>
      <c r="B16" s="143"/>
      <c r="C16" s="399"/>
      <c r="D16" s="313" t="s">
        <v>77</v>
      </c>
      <c r="E16" s="395"/>
      <c r="F16" s="305">
        <f>+'DETALLE APORTES'!E15</f>
        <v>0</v>
      </c>
      <c r="G16" s="305">
        <f>+'DETALLE APORTES'!F15</f>
        <v>4278360</v>
      </c>
      <c r="H16" s="151"/>
      <c r="I16" s="159"/>
      <c r="K16" s="405"/>
      <c r="L16" s="405"/>
      <c r="M16" s="405"/>
      <c r="N16" s="405"/>
    </row>
    <row r="17" spans="1:20" s="135" customFormat="1" ht="15.75" customHeight="1" thickTop="1">
      <c r="A17" s="143"/>
      <c r="B17" s="143"/>
      <c r="C17" s="144"/>
      <c r="D17" s="151"/>
      <c r="E17" s="160"/>
      <c r="F17" s="161"/>
      <c r="G17" s="160"/>
      <c r="H17" s="151"/>
      <c r="I17" s="147"/>
    </row>
    <row r="18" spans="1:20" s="135" customFormat="1" ht="112.5" customHeight="1">
      <c r="A18" s="143"/>
      <c r="B18" s="143"/>
      <c r="C18" s="144"/>
      <c r="D18" s="162" t="str">
        <f>IF(E23+F23+G23=0,"","VERIFICACION DE APORTES")</f>
        <v>VERIFICACION DE APORTES</v>
      </c>
      <c r="E18" s="163" t="str">
        <f>IF(OR(E23=0,(E7+E8+F7+F8)&lt;50000000)," ",IF(SUM(E9:E12)&gt;((E7+E8)*0.5),"Total B. Traslados e Instalación no puede ser Mayor al 50% de A. Equipamiento.-",IF(SUM(E7:E12)&lt;=400000000,"Aporte Solicitado a FONDEQUIP OK",IF(SUM(E7:E12)&gt;400000000,"Monto solicitado a FONDEQUIP excede el Máximo a financiar por Proyecto",""))))</f>
        <v>Aporte Solicitado a FONDEQUIP OK</v>
      </c>
      <c r="F18" s="163" t="str">
        <f>IF($E$29=0,"",IF(F7+F8+F9+F11+F12+F14&gt;=$E$25*10%,"Aporte Pecuniario OK","Aporte Pecuniario debe ser equivalente a, al menos, el 10% de A. Equipamiento.-"))</f>
        <v>Aporte Pecuniario OK</v>
      </c>
      <c r="G18" s="164" t="str">
        <f>IF($E$29=0," ",IF(SUM(G10+G11+G12+G14+G15+G16+F7+F8+F9+F10+F11+F12+F14+F15+F16)&gt;=$E$25*50%,"Aporte No Pecuniario OK",IF(SUM(G10+G11+G12+G14+G15+G16+F7+F8+F9+F10+F11+F12+F14+F15+F16)&lt;$E$25*50%,"Aporte No Pecuniario debe ser, al menos, el equivalente al porcentaje no financiado con Aporte Pecuniario para cumplir con el mínimo correspondiente al 50% de A. Equipamiento.-")))</f>
        <v>Aporte No Pecuniario OK</v>
      </c>
      <c r="H18" s="165"/>
      <c r="I18" s="159"/>
      <c r="P18" s="135">
        <f>IF(I12="Este Sub Item debe Contemplar Financiamiento",1,0)</f>
        <v>0</v>
      </c>
      <c r="Q18" s="135">
        <f>IF(E18="Aporte Solicitado a CONICYT OK",1,0)</f>
        <v>0</v>
      </c>
      <c r="R18" s="135">
        <f>IF(F18="Aporte Pecuniario Universidad OK",1,0)</f>
        <v>0</v>
      </c>
      <c r="S18" s="135">
        <f>IF(G18="Aporte No Pecuniario OK",1,0)</f>
        <v>1</v>
      </c>
      <c r="T18" s="135">
        <f>S18+R18+Q18+P18</f>
        <v>1</v>
      </c>
    </row>
    <row r="19" spans="1:20" s="135" customFormat="1" ht="8.25" customHeight="1" thickBot="1">
      <c r="A19" s="143"/>
      <c r="B19" s="143"/>
      <c r="C19" s="144"/>
      <c r="D19" s="166"/>
      <c r="E19" s="154"/>
      <c r="F19" s="151"/>
      <c r="G19" s="151"/>
      <c r="H19" s="151"/>
      <c r="I19" s="159"/>
    </row>
    <row r="20" spans="1:20" s="135" customFormat="1" ht="39.75" customHeight="1">
      <c r="A20" s="143"/>
      <c r="B20" s="143"/>
      <c r="C20" s="167"/>
      <c r="D20" s="400" t="s">
        <v>78</v>
      </c>
      <c r="E20" s="401"/>
      <c r="F20" s="401"/>
      <c r="G20" s="402"/>
      <c r="H20" s="168"/>
      <c r="I20" s="169"/>
    </row>
    <row r="21" spans="1:20" s="135" customFormat="1"/>
    <row r="22" spans="1:20" s="135" customFormat="1" ht="12.75" customHeight="1"/>
    <row r="23" spans="1:20" s="135" customFormat="1" ht="23.25" customHeight="1">
      <c r="D23" s="316" t="s">
        <v>79</v>
      </c>
      <c r="E23" s="317">
        <f>SUM(E7:E16)</f>
        <v>304385821.43999994</v>
      </c>
      <c r="F23" s="318">
        <f>SUM(F7:F16)</f>
        <v>24106772.899999999</v>
      </c>
      <c r="G23" s="315">
        <f>SUM(G7:G16)</f>
        <v>98452353</v>
      </c>
    </row>
    <row r="24" spans="1:20" s="135" customFormat="1" ht="23.25" customHeight="1">
      <c r="E24" s="136"/>
      <c r="F24" s="136"/>
      <c r="G24" s="136"/>
    </row>
    <row r="25" spans="1:20" s="135" customFormat="1" ht="23.25" customHeight="1">
      <c r="D25" s="314" t="s">
        <v>80</v>
      </c>
      <c r="E25" s="315">
        <f>'I.- EQUIPAMIENTO'!E9+'I.- EQUIPAMIENTO'!E10</f>
        <v>236450010</v>
      </c>
      <c r="F25" s="137" t="str">
        <f>IF(AND(E25&gt;0,E25&lt;50000000),"El Monto Mínimo debe ser $50.000.000.-"," ")</f>
        <v xml:space="preserve"> </v>
      </c>
      <c r="G25" s="136"/>
    </row>
    <row r="26" spans="1:20" s="135" customFormat="1" ht="23.25" customHeight="1">
      <c r="D26" s="135" t="s">
        <v>81</v>
      </c>
      <c r="E26" s="136">
        <f>E25*0.5</f>
        <v>118225005</v>
      </c>
      <c r="F26" s="136"/>
      <c r="G26" s="136"/>
    </row>
    <row r="27" spans="1:20" s="135" customFormat="1" ht="26.25" customHeight="1">
      <c r="D27" s="314" t="s">
        <v>82</v>
      </c>
      <c r="E27" s="315">
        <f>SUM(F23:G23)</f>
        <v>122559125.90000001</v>
      </c>
      <c r="F27" s="138">
        <f>+E27-E26</f>
        <v>4334120.900000006</v>
      </c>
      <c r="G27" s="139"/>
    </row>
    <row r="28" spans="1:20" s="135" customFormat="1" ht="26.25" customHeight="1">
      <c r="E28" s="136"/>
      <c r="F28" s="136"/>
      <c r="G28" s="136"/>
    </row>
    <row r="29" spans="1:20" s="135" customFormat="1" ht="23.25" customHeight="1">
      <c r="D29" s="314" t="s">
        <v>83</v>
      </c>
      <c r="E29" s="315">
        <f>+'I.- EQUIPAMIENTO'!E25</f>
        <v>218950010</v>
      </c>
      <c r="F29" s="140">
        <f>+E29*0.5</f>
        <v>109475005</v>
      </c>
      <c r="G29" s="136"/>
    </row>
    <row r="30" spans="1:20" s="135" customFormat="1" ht="23.25" customHeight="1">
      <c r="D30" s="135" t="s">
        <v>84</v>
      </c>
      <c r="E30" s="141">
        <f>+IF($F$29&gt;$F$30,$F$30,$F$29)</f>
        <v>109475005</v>
      </c>
      <c r="F30" s="140">
        <f>400000000-E29</f>
        <v>181049990</v>
      </c>
      <c r="G30" s="136"/>
    </row>
    <row r="31" spans="1:20" s="135" customFormat="1" ht="23.25" customHeight="1">
      <c r="D31" s="314" t="s">
        <v>85</v>
      </c>
      <c r="E31" s="315">
        <f>SUM($E$9:$E$12)</f>
        <v>85435811.439999998</v>
      </c>
      <c r="F31" s="138">
        <f>+E31-E30</f>
        <v>-24039193.560000002</v>
      </c>
      <c r="G31" s="136"/>
    </row>
    <row r="32" spans="1:20" s="135" customFormat="1" ht="27" customHeight="1">
      <c r="D32" s="135" t="s">
        <v>86</v>
      </c>
      <c r="E32" s="142">
        <f>+IF(E29&gt;0,E31/E29,0)</f>
        <v>0.39020693097935916</v>
      </c>
    </row>
  </sheetData>
  <sheetProtection algorithmName="SHA-512" hashValue="a6/ECccr4XVNjqM/z8y0kaMuy7sKShIB/UoFg/+KzZK81VHglBMJikfhNc/O0B4s2pE3DSFkDJgO110+M/EsXg==" saltValue="mWaop9wVN6gtnnlQFvGtRg==" spinCount="100000" sheet="1" objects="1" scenarios="1"/>
  <mergeCells count="13">
    <mergeCell ref="D20:G20"/>
    <mergeCell ref="E5:E6"/>
    <mergeCell ref="K6:N8"/>
    <mergeCell ref="K9:N10"/>
    <mergeCell ref="K11:N12"/>
    <mergeCell ref="K13:N16"/>
    <mergeCell ref="K5:N5"/>
    <mergeCell ref="D2:I2"/>
    <mergeCell ref="G7:G9"/>
    <mergeCell ref="E14:E16"/>
    <mergeCell ref="F5:G5"/>
    <mergeCell ref="C9:C12"/>
    <mergeCell ref="C14:C16"/>
  </mergeCells>
  <conditionalFormatting sqref="D18">
    <cfRule type="containsText" dxfId="74" priority="12" stopIfTrue="1" operator="containsText" text="VERIFICACION ">
      <formula>NOT(ISERROR(SEARCH("VERIFICACION ",D18)))</formula>
    </cfRule>
  </conditionalFormatting>
  <conditionalFormatting sqref="E18">
    <cfRule type="containsText" dxfId="73" priority="10" stopIfTrue="1" operator="containsText" text="excede el Máximo">
      <formula>NOT(ISERROR(SEARCH("excede el Máximo",E18)))</formula>
    </cfRule>
    <cfRule type="containsText" dxfId="72" priority="11" stopIfTrue="1" operator="containsText" text="no puede ser Mayor">
      <formula>NOT(ISERROR(SEARCH("no puede ser Mayor",E18)))</formula>
    </cfRule>
  </conditionalFormatting>
  <conditionalFormatting sqref="E25">
    <cfRule type="cellIs" dxfId="71" priority="3" operator="lessThan">
      <formula>50000000</formula>
    </cfRule>
  </conditionalFormatting>
  <conditionalFormatting sqref="E30">
    <cfRule type="cellIs" dxfId="70" priority="13" stopIfTrue="1" operator="lessThan">
      <formula>0</formula>
    </cfRule>
  </conditionalFormatting>
  <conditionalFormatting sqref="E32">
    <cfRule type="cellIs" dxfId="69" priority="22" stopIfTrue="1" operator="greaterThan">
      <formula>0.5</formula>
    </cfRule>
  </conditionalFormatting>
  <conditionalFormatting sqref="E8:F8">
    <cfRule type="cellIs" dxfId="68" priority="1" operator="lessThan">
      <formula>0</formula>
    </cfRule>
  </conditionalFormatting>
  <conditionalFormatting sqref="E18:G18">
    <cfRule type="containsText" dxfId="67" priority="6" stopIfTrue="1" operator="containsText" text="OK">
      <formula>NOT(ISERROR(SEARCH("OK",E18)))</formula>
    </cfRule>
  </conditionalFormatting>
  <conditionalFormatting sqref="F18">
    <cfRule type="containsText" dxfId="66" priority="8" stopIfTrue="1" operator="containsText" text="debe ser ">
      <formula>NOT(ISERROR(SEARCH("debe ser ",F18)))</formula>
    </cfRule>
  </conditionalFormatting>
  <conditionalFormatting sqref="F27">
    <cfRule type="cellIs" dxfId="65" priority="23" stopIfTrue="1" operator="lessThan">
      <formula>0</formula>
    </cfRule>
  </conditionalFormatting>
  <conditionalFormatting sqref="F31">
    <cfRule type="cellIs" dxfId="64" priority="2" stopIfTrue="1" operator="greaterThan">
      <formula>0</formula>
    </cfRule>
  </conditionalFormatting>
  <conditionalFormatting sqref="G18">
    <cfRule type="containsText" dxfId="63" priority="5" stopIfTrue="1" operator="containsText" text="debe ser">
      <formula>NOT(ISERROR(SEARCH("debe ser",G18)))</formula>
    </cfRule>
  </conditionalFormatting>
  <conditionalFormatting sqref="I12">
    <cfRule type="containsText" dxfId="62" priority="4" stopIfTrue="1" operator="containsText" text="Contemplar">
      <formula>NOT(ISERROR(SEARCH("Contemplar",I12)))</formula>
    </cfRule>
  </conditionalFormatting>
  <printOptions horizontalCentered="1"/>
  <pageMargins left="0" right="0" top="0.78740157480314965" bottom="0.78740157480314965" header="0" footer="0.59055118110236227"/>
  <pageSetup scale="75" orientation="landscape" r:id="rId1"/>
  <headerFooter alignWithMargins="0">
    <oddFooter>&amp;L&amp;A - &amp;F
&amp;D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7"/>
  <sheetViews>
    <sheetView showGridLines="0" zoomScale="80" zoomScaleNormal="80" workbookViewId="0">
      <pane xSplit="6" ySplit="6" topLeftCell="G11" activePane="bottomRight" state="frozen"/>
      <selection pane="bottomRight" activeCell="J19" sqref="J19"/>
      <selection pane="bottomLeft" activeCell="A7" sqref="A7"/>
      <selection pane="topRight" activeCell="G1" sqref="G1"/>
    </sheetView>
  </sheetViews>
  <sheetFormatPr defaultColWidth="11.42578125" defaultRowHeight="15"/>
  <cols>
    <col min="1" max="1" width="6.7109375" style="82" customWidth="1"/>
    <col min="2" max="2" width="5.140625" style="82" customWidth="1"/>
    <col min="3" max="3" width="16.42578125" style="82" customWidth="1"/>
    <col min="4" max="4" width="35.42578125" style="82" customWidth="1"/>
    <col min="5" max="18" width="18.7109375" style="82" customWidth="1"/>
    <col min="19" max="19" width="9.42578125" style="82" customWidth="1"/>
    <col min="20" max="16384" width="11.42578125" style="82"/>
  </cols>
  <sheetData>
    <row r="1" spans="1:18" s="112" customFormat="1" ht="28.35" customHeight="1">
      <c r="A1" s="110"/>
      <c r="B1" s="420" t="s">
        <v>87</v>
      </c>
      <c r="C1" s="421"/>
      <c r="D1" s="421"/>
      <c r="E1" s="421"/>
      <c r="F1" s="421"/>
      <c r="G1" s="421"/>
      <c r="H1" s="421"/>
      <c r="I1" s="421"/>
      <c r="J1" s="421"/>
      <c r="K1" s="421"/>
      <c r="L1" s="421"/>
      <c r="M1" s="421"/>
      <c r="N1" s="421"/>
      <c r="O1" s="421"/>
      <c r="P1" s="421"/>
      <c r="Q1" s="111"/>
      <c r="R1" s="111"/>
    </row>
    <row r="2" spans="1:18" hidden="1">
      <c r="A2" s="92"/>
      <c r="B2" s="424"/>
      <c r="C2" s="424"/>
      <c r="D2" s="424"/>
      <c r="E2" s="424"/>
      <c r="F2" s="424"/>
      <c r="G2" s="424"/>
      <c r="H2" s="424"/>
      <c r="I2" s="93"/>
      <c r="J2" s="93"/>
      <c r="K2" s="93"/>
      <c r="L2" s="93"/>
      <c r="M2" s="93"/>
      <c r="N2" s="93"/>
      <c r="O2" s="93"/>
      <c r="P2" s="93"/>
      <c r="Q2" s="93"/>
      <c r="R2" s="93"/>
    </row>
    <row r="3" spans="1:18" ht="9" customHeight="1" thickBot="1">
      <c r="A3" s="92"/>
      <c r="B3" s="425"/>
      <c r="C3" s="426"/>
      <c r="D3" s="426"/>
      <c r="E3" s="426"/>
      <c r="F3" s="426"/>
      <c r="G3" s="426"/>
      <c r="H3" s="426"/>
      <c r="I3" s="106"/>
      <c r="J3" s="106"/>
      <c r="K3" s="106"/>
      <c r="L3" s="106"/>
      <c r="M3" s="106"/>
      <c r="N3" s="106"/>
      <c r="O3" s="106"/>
      <c r="P3" s="106"/>
      <c r="Q3" s="106"/>
      <c r="R3" s="106"/>
    </row>
    <row r="4" spans="1:18" ht="13.5" hidden="1" customHeight="1" thickBot="1">
      <c r="A4" s="92"/>
      <c r="B4" s="92"/>
      <c r="C4" s="92"/>
      <c r="D4" s="92"/>
      <c r="E4" s="92"/>
      <c r="F4" s="92"/>
      <c r="G4" s="92"/>
      <c r="H4" s="94"/>
      <c r="I4" s="92"/>
      <c r="J4" s="94"/>
      <c r="K4" s="92"/>
      <c r="L4" s="94"/>
      <c r="M4" s="92"/>
      <c r="N4" s="94"/>
      <c r="O4" s="92"/>
      <c r="P4" s="94"/>
      <c r="Q4" s="92"/>
      <c r="R4" s="94"/>
    </row>
    <row r="5" spans="1:18" ht="29.1" customHeight="1" thickBot="1">
      <c r="A5" s="92"/>
      <c r="B5" s="427"/>
      <c r="C5" s="428"/>
      <c r="D5" s="429"/>
      <c r="E5" s="410" t="s">
        <v>88</v>
      </c>
      <c r="F5" s="411"/>
      <c r="G5" s="412" t="s">
        <v>89</v>
      </c>
      <c r="H5" s="413"/>
      <c r="I5" s="412" t="s">
        <v>90</v>
      </c>
      <c r="J5" s="413"/>
      <c r="K5" s="412" t="s">
        <v>91</v>
      </c>
      <c r="L5" s="413"/>
      <c r="M5" s="412" t="s">
        <v>92</v>
      </c>
      <c r="N5" s="413"/>
      <c r="O5" s="412" t="s">
        <v>93</v>
      </c>
      <c r="P5" s="413"/>
      <c r="Q5" s="412" t="s">
        <v>94</v>
      </c>
      <c r="R5" s="413"/>
    </row>
    <row r="6" spans="1:18" ht="25.5" customHeight="1" thickBot="1">
      <c r="A6" s="95" t="s">
        <v>95</v>
      </c>
      <c r="B6" s="430" t="s">
        <v>96</v>
      </c>
      <c r="C6" s="431"/>
      <c r="D6" s="96" t="s">
        <v>97</v>
      </c>
      <c r="E6" s="97" t="s">
        <v>98</v>
      </c>
      <c r="F6" s="98" t="s">
        <v>99</v>
      </c>
      <c r="G6" s="97" t="s">
        <v>98</v>
      </c>
      <c r="H6" s="98" t="s">
        <v>99</v>
      </c>
      <c r="I6" s="97" t="s">
        <v>98</v>
      </c>
      <c r="J6" s="98" t="s">
        <v>99</v>
      </c>
      <c r="K6" s="97" t="s">
        <v>98</v>
      </c>
      <c r="L6" s="98" t="s">
        <v>99</v>
      </c>
      <c r="M6" s="97" t="s">
        <v>98</v>
      </c>
      <c r="N6" s="98" t="s">
        <v>99</v>
      </c>
      <c r="O6" s="97" t="s">
        <v>98</v>
      </c>
      <c r="P6" s="98" t="s">
        <v>99</v>
      </c>
      <c r="Q6" s="97" t="s">
        <v>98</v>
      </c>
      <c r="R6" s="98" t="s">
        <v>99</v>
      </c>
    </row>
    <row r="7" spans="1:18" ht="39.75" customHeight="1" thickBot="1">
      <c r="A7" s="422" t="s">
        <v>100</v>
      </c>
      <c r="B7" s="432" t="s">
        <v>101</v>
      </c>
      <c r="C7" s="433" t="s">
        <v>100</v>
      </c>
      <c r="D7" s="266" t="s">
        <v>69</v>
      </c>
      <c r="E7" s="99">
        <f>+G7+I7+K7+M7+O7+Q7</f>
        <v>17500000</v>
      </c>
      <c r="F7" s="107"/>
      <c r="G7" s="262">
        <f>+'I.- EQUIPAMIENTO'!E16</f>
        <v>17500000</v>
      </c>
      <c r="H7" s="107"/>
      <c r="I7" s="262">
        <v>0</v>
      </c>
      <c r="J7" s="107"/>
      <c r="K7" s="262">
        <v>0</v>
      </c>
      <c r="L7" s="107"/>
      <c r="M7" s="262">
        <v>0</v>
      </c>
      <c r="N7" s="107"/>
      <c r="O7" s="262">
        <v>0</v>
      </c>
      <c r="P7" s="107"/>
      <c r="Q7" s="262">
        <v>0</v>
      </c>
      <c r="R7" s="107"/>
    </row>
    <row r="8" spans="1:18" ht="39.75" customHeight="1" thickBot="1">
      <c r="A8" s="422"/>
      <c r="B8" s="414"/>
      <c r="C8" s="417"/>
      <c r="D8" s="267" t="s">
        <v>33</v>
      </c>
      <c r="E8" s="99">
        <f t="shared" ref="E8:E15" si="0">+G8+I8+K8+M8+O8+Q8</f>
        <v>0</v>
      </c>
      <c r="F8" s="108"/>
      <c r="G8" s="262">
        <f>+'I.- EQUIPAMIENTO'!E17</f>
        <v>0</v>
      </c>
      <c r="H8" s="108"/>
      <c r="I8" s="262">
        <v>0</v>
      </c>
      <c r="J8" s="108"/>
      <c r="K8" s="262">
        <v>0</v>
      </c>
      <c r="L8" s="108"/>
      <c r="M8" s="262">
        <v>0</v>
      </c>
      <c r="N8" s="108"/>
      <c r="O8" s="262">
        <v>0</v>
      </c>
      <c r="P8" s="108"/>
      <c r="Q8" s="262">
        <v>0</v>
      </c>
      <c r="R8" s="108"/>
    </row>
    <row r="9" spans="1:18" ht="39.75" customHeight="1" thickBot="1">
      <c r="A9" s="422"/>
      <c r="B9" s="414" t="s">
        <v>102</v>
      </c>
      <c r="C9" s="417" t="s">
        <v>103</v>
      </c>
      <c r="D9" s="267" t="s">
        <v>57</v>
      </c>
      <c r="E9" s="99">
        <f t="shared" si="0"/>
        <v>0</v>
      </c>
      <c r="F9" s="108"/>
      <c r="G9" s="262">
        <f>+'I.- EQUIPAMIENTO'!E18</f>
        <v>0</v>
      </c>
      <c r="H9" s="108"/>
      <c r="I9" s="262">
        <v>0</v>
      </c>
      <c r="J9" s="108"/>
      <c r="K9" s="262">
        <v>0</v>
      </c>
      <c r="L9" s="108"/>
      <c r="M9" s="262">
        <v>0</v>
      </c>
      <c r="N9" s="108"/>
      <c r="O9" s="262">
        <v>0</v>
      </c>
      <c r="P9" s="108"/>
      <c r="Q9" s="262">
        <v>0</v>
      </c>
      <c r="R9" s="108"/>
    </row>
    <row r="10" spans="1:18" ht="39.75" customHeight="1" thickBot="1">
      <c r="A10" s="422"/>
      <c r="B10" s="414"/>
      <c r="C10" s="417"/>
      <c r="D10" s="267" t="s">
        <v>73</v>
      </c>
      <c r="E10" s="99">
        <f t="shared" si="0"/>
        <v>0</v>
      </c>
      <c r="F10" s="99">
        <f t="shared" ref="F10:F15" si="1">+H10+J10+L10+N10+P10+R10</f>
        <v>1500000</v>
      </c>
      <c r="G10" s="262">
        <v>0</v>
      </c>
      <c r="H10" s="264">
        <v>1500000</v>
      </c>
      <c r="I10" s="262">
        <v>0</v>
      </c>
      <c r="J10" s="264">
        <v>0</v>
      </c>
      <c r="K10" s="262">
        <v>0</v>
      </c>
      <c r="L10" s="264">
        <v>0</v>
      </c>
      <c r="M10" s="262">
        <v>0</v>
      </c>
      <c r="N10" s="264">
        <v>0</v>
      </c>
      <c r="O10" s="262">
        <v>0</v>
      </c>
      <c r="P10" s="264">
        <v>0</v>
      </c>
      <c r="Q10" s="262">
        <v>0</v>
      </c>
      <c r="R10" s="264">
        <v>0</v>
      </c>
    </row>
    <row r="11" spans="1:18" ht="39.75" customHeight="1" thickBot="1">
      <c r="A11" s="422"/>
      <c r="B11" s="414"/>
      <c r="C11" s="417"/>
      <c r="D11" s="267" t="s">
        <v>58</v>
      </c>
      <c r="E11" s="99">
        <f t="shared" si="0"/>
        <v>0</v>
      </c>
      <c r="F11" s="99">
        <f>+H11+J11+L11+N11+P11+R11</f>
        <v>0</v>
      </c>
      <c r="G11" s="262">
        <f>+'I.- EQUIPAMIENTO'!E19</f>
        <v>0</v>
      </c>
      <c r="H11" s="264">
        <v>0</v>
      </c>
      <c r="I11" s="262">
        <v>0</v>
      </c>
      <c r="J11" s="264">
        <v>0</v>
      </c>
      <c r="K11" s="262">
        <v>0</v>
      </c>
      <c r="L11" s="264">
        <v>0</v>
      </c>
      <c r="M11" s="262">
        <v>0</v>
      </c>
      <c r="N11" s="264">
        <v>0</v>
      </c>
      <c r="O11" s="262">
        <v>0</v>
      </c>
      <c r="P11" s="264">
        <v>0</v>
      </c>
      <c r="Q11" s="262">
        <v>0</v>
      </c>
      <c r="R11" s="264">
        <v>0</v>
      </c>
    </row>
    <row r="12" spans="1:18" ht="39.75" customHeight="1" thickBot="1">
      <c r="A12" s="422"/>
      <c r="B12" s="414"/>
      <c r="C12" s="417"/>
      <c r="D12" s="267" t="s">
        <v>59</v>
      </c>
      <c r="E12" s="99">
        <f t="shared" si="0"/>
        <v>0</v>
      </c>
      <c r="F12" s="99">
        <f t="shared" si="1"/>
        <v>1126793</v>
      </c>
      <c r="G12" s="262">
        <f>+'I.- EQUIPAMIENTO'!E20</f>
        <v>0</v>
      </c>
      <c r="H12" s="264">
        <v>1126793</v>
      </c>
      <c r="I12" s="262">
        <v>0</v>
      </c>
      <c r="J12" s="264">
        <v>0</v>
      </c>
      <c r="K12" s="262">
        <v>0</v>
      </c>
      <c r="L12" s="264">
        <v>0</v>
      </c>
      <c r="M12" s="262">
        <v>0</v>
      </c>
      <c r="N12" s="264">
        <v>0</v>
      </c>
      <c r="O12" s="262">
        <v>0</v>
      </c>
      <c r="P12" s="264">
        <v>0</v>
      </c>
      <c r="Q12" s="262">
        <v>0</v>
      </c>
      <c r="R12" s="264">
        <v>0</v>
      </c>
    </row>
    <row r="13" spans="1:18" ht="34.5" customHeight="1" thickBot="1">
      <c r="A13" s="422" t="s">
        <v>104</v>
      </c>
      <c r="B13" s="414" t="s">
        <v>105</v>
      </c>
      <c r="C13" s="417" t="s">
        <v>106</v>
      </c>
      <c r="D13" s="267" t="s">
        <v>60</v>
      </c>
      <c r="E13" s="99">
        <f t="shared" si="0"/>
        <v>6606772.8999999994</v>
      </c>
      <c r="F13" s="99">
        <f t="shared" si="1"/>
        <v>5936880</v>
      </c>
      <c r="G13" s="262">
        <f>+'I.- EQUIPAMIENTO'!E21</f>
        <v>6606772.8999999994</v>
      </c>
      <c r="H13" s="264">
        <v>5936880</v>
      </c>
      <c r="I13" s="262">
        <v>0</v>
      </c>
      <c r="J13" s="264">
        <v>0</v>
      </c>
      <c r="K13" s="262">
        <v>0</v>
      </c>
      <c r="L13" s="264">
        <v>0</v>
      </c>
      <c r="M13" s="262">
        <v>0</v>
      </c>
      <c r="N13" s="264">
        <v>0</v>
      </c>
      <c r="O13" s="262">
        <v>0</v>
      </c>
      <c r="P13" s="264">
        <v>0</v>
      </c>
      <c r="Q13" s="262">
        <v>0</v>
      </c>
      <c r="R13" s="264">
        <v>0</v>
      </c>
    </row>
    <row r="14" spans="1:18" ht="36" customHeight="1" thickBot="1">
      <c r="A14" s="422"/>
      <c r="B14" s="415"/>
      <c r="C14" s="418"/>
      <c r="D14" s="267" t="s">
        <v>76</v>
      </c>
      <c r="E14" s="99">
        <f t="shared" si="0"/>
        <v>0</v>
      </c>
      <c r="F14" s="99">
        <f t="shared" si="1"/>
        <v>85610320</v>
      </c>
      <c r="G14" s="262">
        <v>0</v>
      </c>
      <c r="H14" s="264">
        <f>17866272+57383194+10360854</f>
        <v>85610320</v>
      </c>
      <c r="I14" s="262">
        <v>0</v>
      </c>
      <c r="J14" s="264">
        <v>0</v>
      </c>
      <c r="K14" s="262">
        <v>0</v>
      </c>
      <c r="L14" s="264">
        <v>0</v>
      </c>
      <c r="M14" s="262">
        <v>0</v>
      </c>
      <c r="N14" s="264">
        <v>0</v>
      </c>
      <c r="O14" s="262">
        <v>0</v>
      </c>
      <c r="P14" s="264">
        <v>0</v>
      </c>
      <c r="Q14" s="262">
        <v>0</v>
      </c>
      <c r="R14" s="264">
        <v>0</v>
      </c>
    </row>
    <row r="15" spans="1:18" ht="36" customHeight="1" thickBot="1">
      <c r="A15" s="423"/>
      <c r="B15" s="416"/>
      <c r="C15" s="419"/>
      <c r="D15" s="268" t="s">
        <v>107</v>
      </c>
      <c r="E15" s="99">
        <f t="shared" si="0"/>
        <v>0</v>
      </c>
      <c r="F15" s="99">
        <f t="shared" si="1"/>
        <v>4278360</v>
      </c>
      <c r="G15" s="263">
        <v>0</v>
      </c>
      <c r="H15" s="265">
        <v>4278360</v>
      </c>
      <c r="I15" s="263">
        <v>0</v>
      </c>
      <c r="J15" s="265">
        <v>0</v>
      </c>
      <c r="K15" s="263">
        <v>0</v>
      </c>
      <c r="L15" s="265">
        <v>0</v>
      </c>
      <c r="M15" s="263">
        <v>0</v>
      </c>
      <c r="N15" s="265">
        <v>0</v>
      </c>
      <c r="O15" s="263">
        <v>0</v>
      </c>
      <c r="P15" s="265">
        <v>0</v>
      </c>
      <c r="Q15" s="263">
        <v>0</v>
      </c>
      <c r="R15" s="265">
        <v>0</v>
      </c>
    </row>
    <row r="16" spans="1:18" ht="41.1" customHeight="1" thickBot="1">
      <c r="A16" s="92"/>
      <c r="B16" s="408"/>
      <c r="C16" s="409"/>
      <c r="D16" s="101" t="s">
        <v>79</v>
      </c>
      <c r="E16" s="102">
        <f t="shared" ref="E16:P16" si="2">SUM(E7:E15)</f>
        <v>24106772.899999999</v>
      </c>
      <c r="F16" s="102">
        <f t="shared" si="2"/>
        <v>98452353</v>
      </c>
      <c r="G16" s="102">
        <f>SUM(G7:G15)</f>
        <v>24106772.899999999</v>
      </c>
      <c r="H16" s="103">
        <f t="shared" si="2"/>
        <v>98452353</v>
      </c>
      <c r="I16" s="102">
        <f t="shared" si="2"/>
        <v>0</v>
      </c>
      <c r="J16" s="103">
        <f t="shared" si="2"/>
        <v>0</v>
      </c>
      <c r="K16" s="102">
        <f t="shared" si="2"/>
        <v>0</v>
      </c>
      <c r="L16" s="103">
        <f t="shared" si="2"/>
        <v>0</v>
      </c>
      <c r="M16" s="102">
        <f t="shared" si="2"/>
        <v>0</v>
      </c>
      <c r="N16" s="103">
        <f t="shared" si="2"/>
        <v>0</v>
      </c>
      <c r="O16" s="102">
        <f t="shared" si="2"/>
        <v>0</v>
      </c>
      <c r="P16" s="103">
        <f t="shared" si="2"/>
        <v>0</v>
      </c>
      <c r="Q16" s="102">
        <f t="shared" ref="Q16:R16" si="3">SUM(Q7:Q15)</f>
        <v>0</v>
      </c>
      <c r="R16" s="103">
        <f t="shared" si="3"/>
        <v>0</v>
      </c>
    </row>
    <row r="17" spans="1:18">
      <c r="A17" s="92"/>
      <c r="B17" s="92"/>
      <c r="C17" s="92"/>
      <c r="D17" s="104"/>
      <c r="E17" s="92"/>
      <c r="F17" s="92"/>
      <c r="G17" s="105"/>
      <c r="H17" s="92"/>
      <c r="I17" s="105"/>
      <c r="J17" s="92"/>
      <c r="K17" s="105"/>
      <c r="L17" s="92"/>
      <c r="M17" s="105"/>
      <c r="N17" s="92"/>
      <c r="O17" s="105"/>
      <c r="P17" s="92"/>
      <c r="Q17" s="105"/>
      <c r="R17" s="92"/>
    </row>
  </sheetData>
  <sheetProtection algorithmName="SHA-512" hashValue="FCThNN7AmLQulaHdwkYSULrsUi3zuyLiWj4P1Gm7Pz5rnVnn2KEQL0GmUcM0SRThs/iJFulAeKidu0vGbx8IvQ==" saltValue="8nfIwnMgXkJkLC/h9Q2/aQ==" spinCount="100000" sheet="1"/>
  <mergeCells count="21">
    <mergeCell ref="Q5:R5"/>
    <mergeCell ref="B1:P1"/>
    <mergeCell ref="A7:A12"/>
    <mergeCell ref="A13:A15"/>
    <mergeCell ref="B2:H2"/>
    <mergeCell ref="B3:H3"/>
    <mergeCell ref="B5:D5"/>
    <mergeCell ref="G5:H5"/>
    <mergeCell ref="B6:C6"/>
    <mergeCell ref="O5:P5"/>
    <mergeCell ref="B7:B8"/>
    <mergeCell ref="C7:C8"/>
    <mergeCell ref="B9:B12"/>
    <mergeCell ref="C9:C12"/>
    <mergeCell ref="B16:C16"/>
    <mergeCell ref="E5:F5"/>
    <mergeCell ref="I5:J5"/>
    <mergeCell ref="K5:L5"/>
    <mergeCell ref="M5:N5"/>
    <mergeCell ref="B13:B15"/>
    <mergeCell ref="C13:C15"/>
  </mergeCells>
  <dataValidations count="1">
    <dataValidation operator="greaterThanOrEqual" allowBlank="1" showInputMessage="1" sqref="O7:O15 M7:M15 K7:K15 I7:I15 G7:G15 Q7:Q15" xr:uid="{00000000-0002-0000-0400-000000000000}"/>
  </dataValidations>
  <printOptions horizontalCentered="1"/>
  <pageMargins left="0" right="0" top="0.78740157480314965" bottom="0.78740157480314965" header="0" footer="0.59055118110236227"/>
  <pageSetup paperSize="119" scale="70" orientation="landscape" r:id="rId1"/>
  <headerFooter alignWithMargins="0">
    <oddFooter>&amp;L&amp;A - &amp;F
&amp;D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1:L23"/>
  <sheetViews>
    <sheetView showGridLines="0" topLeftCell="D1" zoomScale="138" zoomScaleNormal="138" workbookViewId="0">
      <selection activeCell="I16" sqref="I16"/>
    </sheetView>
  </sheetViews>
  <sheetFormatPr defaultColWidth="11.42578125" defaultRowHeight="15"/>
  <cols>
    <col min="1" max="1" width="4" style="135" customWidth="1"/>
    <col min="2" max="2" width="6.85546875" style="135" customWidth="1"/>
    <col min="3" max="3" width="4" style="135" customWidth="1"/>
    <col min="4" max="4" width="18.85546875" style="135" customWidth="1"/>
    <col min="5" max="5" width="41.42578125" style="135" customWidth="1"/>
    <col min="6" max="9" width="30" style="135" customWidth="1"/>
    <col min="10" max="10" width="3.42578125" style="135" customWidth="1"/>
    <col min="11" max="11" width="12.7109375" style="135" customWidth="1"/>
    <col min="12" max="12" width="17.42578125" style="135" customWidth="1"/>
    <col min="13" max="13" width="20.42578125" style="135" customWidth="1"/>
    <col min="14" max="14" width="16.42578125" style="135" customWidth="1"/>
    <col min="15" max="15" width="9.42578125" style="135" customWidth="1"/>
    <col min="16" max="16384" width="11.42578125" style="135"/>
  </cols>
  <sheetData>
    <row r="1" spans="2:12" s="253" customFormat="1" ht="28.35" customHeight="1">
      <c r="B1" s="451" t="s">
        <v>108</v>
      </c>
      <c r="C1" s="452"/>
      <c r="D1" s="452"/>
      <c r="E1" s="452"/>
      <c r="F1" s="452"/>
      <c r="G1" s="452"/>
      <c r="H1" s="452"/>
      <c r="I1" s="453"/>
      <c r="J1" s="252"/>
    </row>
    <row r="2" spans="2:12" hidden="1">
      <c r="B2" s="227"/>
      <c r="C2" s="435"/>
      <c r="D2" s="435"/>
      <c r="E2" s="435"/>
      <c r="F2" s="435"/>
      <c r="G2" s="435"/>
      <c r="H2" s="435"/>
      <c r="I2" s="435"/>
      <c r="J2" s="227"/>
    </row>
    <row r="3" spans="2:12" ht="9" customHeight="1" thickBot="1">
      <c r="B3" s="227"/>
      <c r="C3" s="439"/>
      <c r="D3" s="440"/>
      <c r="E3" s="440"/>
      <c r="F3" s="440"/>
      <c r="G3" s="440"/>
      <c r="H3" s="440"/>
      <c r="I3" s="440"/>
      <c r="J3" s="227"/>
    </row>
    <row r="4" spans="2:12" ht="13.5" hidden="1" customHeight="1" thickBot="1">
      <c r="B4" s="227"/>
      <c r="C4" s="227"/>
      <c r="D4" s="227"/>
      <c r="E4" s="227"/>
      <c r="F4" s="227"/>
      <c r="G4" s="227"/>
      <c r="H4" s="227"/>
      <c r="I4" s="228"/>
      <c r="J4" s="227"/>
    </row>
    <row r="5" spans="2:12" ht="30" customHeight="1" thickBot="1">
      <c r="B5" s="454" t="s">
        <v>109</v>
      </c>
      <c r="C5" s="455"/>
      <c r="D5" s="455"/>
      <c r="E5" s="455"/>
      <c r="F5" s="442" t="s">
        <v>110</v>
      </c>
      <c r="G5" s="436" t="s">
        <v>111</v>
      </c>
      <c r="H5" s="436" t="s">
        <v>112</v>
      </c>
      <c r="I5" s="441"/>
      <c r="J5" s="229"/>
    </row>
    <row r="6" spans="2:12" ht="23.1" customHeight="1" thickBot="1">
      <c r="B6" s="230" t="s">
        <v>95</v>
      </c>
      <c r="C6" s="447" t="s">
        <v>96</v>
      </c>
      <c r="D6" s="447"/>
      <c r="E6" s="231" t="s">
        <v>97</v>
      </c>
      <c r="F6" s="443"/>
      <c r="G6" s="437"/>
      <c r="H6" s="232" t="s">
        <v>98</v>
      </c>
      <c r="I6" s="233" t="s">
        <v>99</v>
      </c>
      <c r="J6" s="229"/>
    </row>
    <row r="7" spans="2:12" ht="32.450000000000003" customHeight="1">
      <c r="B7" s="448" t="s">
        <v>100</v>
      </c>
      <c r="C7" s="444" t="s">
        <v>101</v>
      </c>
      <c r="D7" s="445" t="s">
        <v>100</v>
      </c>
      <c r="E7" s="332" t="s">
        <v>69</v>
      </c>
      <c r="F7" s="234">
        <f>G7+H7</f>
        <v>236450010</v>
      </c>
      <c r="G7" s="327">
        <f>+'II TRASLADOS , INST. OPERACION'!E7</f>
        <v>218950010</v>
      </c>
      <c r="H7" s="327">
        <f>+'II TRASLADOS , INST. OPERACION'!F7</f>
        <v>17500000</v>
      </c>
      <c r="I7" s="235"/>
      <c r="J7" s="229"/>
      <c r="L7" s="236"/>
    </row>
    <row r="8" spans="2:12" ht="32.450000000000003" customHeight="1">
      <c r="B8" s="449"/>
      <c r="C8" s="438"/>
      <c r="D8" s="446"/>
      <c r="E8" s="333" t="s">
        <v>33</v>
      </c>
      <c r="F8" s="237">
        <f>G8+H8</f>
        <v>0</v>
      </c>
      <c r="G8" s="328">
        <f>+'II TRASLADOS , INST. OPERACION'!E8</f>
        <v>0</v>
      </c>
      <c r="H8" s="328">
        <f>+'II TRASLADOS , INST. OPERACION'!F8</f>
        <v>0</v>
      </c>
      <c r="I8" s="238"/>
      <c r="J8" s="229"/>
      <c r="L8" s="236"/>
    </row>
    <row r="9" spans="2:12" ht="32.450000000000003" customHeight="1">
      <c r="B9" s="449"/>
      <c r="C9" s="438" t="s">
        <v>102</v>
      </c>
      <c r="D9" s="446" t="s">
        <v>113</v>
      </c>
      <c r="E9" s="333" t="s">
        <v>57</v>
      </c>
      <c r="F9" s="237">
        <f>G9+H9</f>
        <v>60443738.649999999</v>
      </c>
      <c r="G9" s="328">
        <f>'II TRASLADOS , INST. OPERACION'!E9</f>
        <v>60443738.649999999</v>
      </c>
      <c r="H9" s="328">
        <f>+'II TRASLADOS , INST. OPERACION'!F9</f>
        <v>0</v>
      </c>
      <c r="I9" s="238"/>
      <c r="J9" s="229"/>
      <c r="L9" s="239"/>
    </row>
    <row r="10" spans="2:12" ht="32.450000000000003" customHeight="1">
      <c r="B10" s="449"/>
      <c r="C10" s="438"/>
      <c r="D10" s="446"/>
      <c r="E10" s="333" t="s">
        <v>73</v>
      </c>
      <c r="F10" s="237">
        <f>G10+H10+I10</f>
        <v>1500000</v>
      </c>
      <c r="G10" s="328">
        <f>'II TRASLADOS , INST. OPERACION'!E10</f>
        <v>0</v>
      </c>
      <c r="H10" s="328">
        <f>+'II TRASLADOS , INST. OPERACION'!F10</f>
        <v>0</v>
      </c>
      <c r="I10" s="329">
        <f>'II TRASLADOS , INST. OPERACION'!G10</f>
        <v>1500000</v>
      </c>
      <c r="J10" s="229"/>
    </row>
    <row r="11" spans="2:12" ht="32.450000000000003" customHeight="1">
      <c r="B11" s="449"/>
      <c r="C11" s="438"/>
      <c r="D11" s="446"/>
      <c r="E11" s="333" t="s">
        <v>58</v>
      </c>
      <c r="F11" s="237">
        <f>+G11+H11+I11</f>
        <v>5927991.9500000002</v>
      </c>
      <c r="G11" s="328">
        <f>'II TRASLADOS , INST. OPERACION'!E11</f>
        <v>5927991.9500000002</v>
      </c>
      <c r="H11" s="328">
        <f>+'II TRASLADOS , INST. OPERACION'!F11</f>
        <v>0</v>
      </c>
      <c r="I11" s="329">
        <f>'II TRASLADOS , INST. OPERACION'!G11</f>
        <v>0</v>
      </c>
      <c r="J11" s="229"/>
      <c r="K11" s="434" t="str">
        <f>IF(G11="","No puede tener celdas vacías",IF(G12="","No puede tener celdas vacías",IF(H11="","No puede tener celdas vacías",IF(H12="","No puede tener celdas vacías",IF(I10="","No puede tener celdas vacías",IF(I11="","No puede tener celdas vacías",IF(I12="","No puede tener celdas vacías","")))))))</f>
        <v/>
      </c>
      <c r="L11" s="434"/>
    </row>
    <row r="12" spans="2:12" ht="32.450000000000003" customHeight="1">
      <c r="B12" s="449"/>
      <c r="C12" s="438"/>
      <c r="D12" s="446"/>
      <c r="E12" s="333" t="s">
        <v>59</v>
      </c>
      <c r="F12" s="240">
        <f>IF(SUM(G12+H12+I12)=0,"Este Sub Item debe contemplar Financiamiento",SUM(G12:I12))</f>
        <v>20190873.84</v>
      </c>
      <c r="G12" s="328">
        <f>'II TRASLADOS , INST. OPERACION'!E12</f>
        <v>19064080.84</v>
      </c>
      <c r="H12" s="328">
        <f>+'II TRASLADOS , INST. OPERACION'!F12</f>
        <v>0</v>
      </c>
      <c r="I12" s="329">
        <f>'II TRASLADOS , INST. OPERACION'!G12</f>
        <v>1126793</v>
      </c>
      <c r="J12" s="229"/>
      <c r="K12" s="434"/>
      <c r="L12" s="434"/>
    </row>
    <row r="13" spans="2:12" ht="32.450000000000003" customHeight="1">
      <c r="B13" s="449" t="s">
        <v>104</v>
      </c>
      <c r="C13" s="438" t="s">
        <v>105</v>
      </c>
      <c r="D13" s="446" t="s">
        <v>106</v>
      </c>
      <c r="E13" s="333" t="s">
        <v>60</v>
      </c>
      <c r="F13" s="241">
        <f>H13+I13</f>
        <v>12543652.899999999</v>
      </c>
      <c r="G13" s="242"/>
      <c r="H13" s="328">
        <f>+'II TRASLADOS , INST. OPERACION'!F14</f>
        <v>6606772.8999999994</v>
      </c>
      <c r="I13" s="329">
        <f>+'II TRASLADOS , INST. OPERACION'!G14</f>
        <v>5936880</v>
      </c>
      <c r="J13" s="229"/>
      <c r="K13" s="434" t="str">
        <f>IF(H13="","No puede tener celdas vacías",IF(H15="","No puede tener celdas vacías",IF(I13="","No puede tener celdas vacías",IF(I15="","No puede tener celdas vacías",""))))</f>
        <v/>
      </c>
      <c r="L13" s="434"/>
    </row>
    <row r="14" spans="2:12" ht="32.450000000000003" customHeight="1">
      <c r="B14" s="449"/>
      <c r="C14" s="438"/>
      <c r="D14" s="446"/>
      <c r="E14" s="333" t="s">
        <v>76</v>
      </c>
      <c r="F14" s="241">
        <f>H14+I14</f>
        <v>85610320</v>
      </c>
      <c r="G14" s="242"/>
      <c r="H14" s="328">
        <f>+'II TRASLADOS , INST. OPERACION'!F15</f>
        <v>0</v>
      </c>
      <c r="I14" s="329">
        <f>+'II TRASLADOS , INST. OPERACION'!G15</f>
        <v>85610320</v>
      </c>
      <c r="J14" s="229"/>
      <c r="K14" s="434"/>
      <c r="L14" s="434"/>
    </row>
    <row r="15" spans="2:12" ht="32.450000000000003" customHeight="1" thickBot="1">
      <c r="B15" s="450"/>
      <c r="C15" s="437"/>
      <c r="D15" s="459"/>
      <c r="E15" s="334" t="s">
        <v>107</v>
      </c>
      <c r="F15" s="243">
        <f>+H15+I15</f>
        <v>4278360</v>
      </c>
      <c r="G15" s="244"/>
      <c r="H15" s="330">
        <f>+'II TRASLADOS , INST. OPERACION'!F16</f>
        <v>0</v>
      </c>
      <c r="I15" s="331">
        <f>+'II TRASLADOS , INST. OPERACION'!G16</f>
        <v>4278360</v>
      </c>
      <c r="J15" s="229"/>
      <c r="K15" s="434"/>
      <c r="L15" s="434"/>
    </row>
    <row r="16" spans="2:12" ht="111" customHeight="1" thickBot="1">
      <c r="B16" s="456" t="s">
        <v>114</v>
      </c>
      <c r="C16" s="457"/>
      <c r="D16" s="458"/>
      <c r="E16" s="245" t="s">
        <v>79</v>
      </c>
      <c r="F16" s="246">
        <f>IF(SUM(F7:F8)&lt;50000000,"El Monto Mínimo del ítem Equipamiento debe ser $50.000.000.-",SUM(F7:F15))</f>
        <v>426944947.33999991</v>
      </c>
      <c r="G16" s="247">
        <f>IF(SUM(G7:G15)&gt;400000000,"Monto Solicitado a FONDEQUIP no puede ser mayor a $400.000.000 (máximo a financiar por Proyecto).-",IF(SUM(G9:G12)&gt;(SUM(G7:G8)*0.5),"Total B. Traslados e Instalación no puede ser Mayor al 50% de  A. Equipamiento.- ",SUM(G7:G15)))</f>
        <v>304385821.43999994</v>
      </c>
      <c r="H16" s="247">
        <f>IF(('II TRASLADOS , INST. OPERACION'!E29=0),"Aporte Pecuniario debe ser, al menos, el 10% de A. Equipamiento en los sub-ítems correspondientes.-",SUM(H7:H15))</f>
        <v>24106772.899999999</v>
      </c>
      <c r="I16" s="248">
        <f>IF(SUM(SUM(I10:I15)+SUM(H7:H15))&lt;(F7+F8)*50%,"Aporte No Pecuniario debe ser, al menos, el equivalente al porcentaje no financiado con Aporte Pecuniario para cumplir con el mínimo correspondiente al 50% de A. Equipamiento.-",SUM(I7:I15))</f>
        <v>98452353</v>
      </c>
      <c r="J16" s="229"/>
    </row>
    <row r="17" spans="2:10">
      <c r="B17" s="227"/>
      <c r="C17" s="227"/>
      <c r="D17" s="227"/>
      <c r="E17" s="249"/>
      <c r="F17" s="227"/>
      <c r="G17" s="250"/>
      <c r="H17" s="250"/>
      <c r="I17" s="227"/>
      <c r="J17" s="227"/>
    </row>
    <row r="23" spans="2:10">
      <c r="G23" s="251"/>
    </row>
  </sheetData>
  <sheetProtection algorithmName="SHA-512" hashValue="gZzsbf8mAqvjeWtl2e2jZebznd0+cWrWYTEI2zov4VowEZl3Z9COzekucls6yp/a5ut65lRpi7piRybkibLLwA==" saltValue="pPaEB7n4MYFeVY5SsHkxdQ==" spinCount="100000" sheet="1" selectLockedCells="1"/>
  <mergeCells count="19">
    <mergeCell ref="B7:B12"/>
    <mergeCell ref="B13:B15"/>
    <mergeCell ref="B1:I1"/>
    <mergeCell ref="B5:E5"/>
    <mergeCell ref="B16:D16"/>
    <mergeCell ref="D13:D15"/>
    <mergeCell ref="C9:C12"/>
    <mergeCell ref="D9:D12"/>
    <mergeCell ref="K11:L12"/>
    <mergeCell ref="K13:L15"/>
    <mergeCell ref="C2:I2"/>
    <mergeCell ref="G5:G6"/>
    <mergeCell ref="C13:C15"/>
    <mergeCell ref="C3:I3"/>
    <mergeCell ref="H5:I5"/>
    <mergeCell ref="F5:F6"/>
    <mergeCell ref="C7:C8"/>
    <mergeCell ref="D7:D8"/>
    <mergeCell ref="C6:D6"/>
  </mergeCells>
  <conditionalFormatting sqref="F12">
    <cfRule type="containsText" dxfId="61" priority="1" stopIfTrue="1" operator="containsText" text="Este Sub Item">
      <formula>NOT(ISERROR(SEARCH("Este Sub Item",F12)))</formula>
    </cfRule>
  </conditionalFormatting>
  <conditionalFormatting sqref="F16">
    <cfRule type="containsText" dxfId="60" priority="5" stopIfTrue="1" operator="containsText" text="El Monto">
      <formula>NOT(ISERROR(SEARCH("El Monto",F16)))</formula>
    </cfRule>
  </conditionalFormatting>
  <conditionalFormatting sqref="G16">
    <cfRule type="cellIs" dxfId="59" priority="4" stopIfTrue="1" operator="greaterThan">
      <formula>400000000</formula>
    </cfRule>
  </conditionalFormatting>
  <conditionalFormatting sqref="H16:I16">
    <cfRule type="containsText" dxfId="58" priority="2" stopIfTrue="1" operator="containsText" text="Debe ser">
      <formula>NOT(ISERROR(SEARCH("Debe ser",H16)))</formula>
    </cfRule>
  </conditionalFormatting>
  <conditionalFormatting sqref="K11">
    <cfRule type="containsText" dxfId="57" priority="13" stopIfTrue="1" operator="containsText" text="Monto Item Equipamiento OK">
      <formula>NOT(ISERROR(SEARCH("Monto Item Equipamiento OK",K11)))</formula>
    </cfRule>
    <cfRule type="containsText" dxfId="56" priority="14" operator="containsText" text="$50.000.000">
      <formula>NOT(ISERROR(SEARCH("$50.000.000",K11)))</formula>
    </cfRule>
    <cfRule type="containsText" dxfId="55" priority="15" operator="containsText" text="Excede">
      <formula>NOT(ISERROR(SEARCH("Excede",K11)))</formula>
    </cfRule>
    <cfRule type="containsText" dxfId="54" priority="16" operator="containsText" text="M$50.000">
      <formula>NOT(ISERROR(SEARCH("M$50.000",K11)))</formula>
    </cfRule>
  </conditionalFormatting>
  <conditionalFormatting sqref="K13:K14">
    <cfRule type="containsText" dxfId="53" priority="17" operator="containsText" text="$50.000.000">
      <formula>NOT(ISERROR(SEARCH("$50.000.000",K13)))</formula>
    </cfRule>
    <cfRule type="containsText" dxfId="52" priority="18" operator="containsText" text="Excede">
      <formula>NOT(ISERROR(SEARCH("Excede",K13)))</formula>
    </cfRule>
    <cfRule type="containsText" dxfId="51" priority="19" operator="containsText" text="M$50.000">
      <formula>NOT(ISERROR(SEARCH("M$50.000",K13)))</formula>
    </cfRule>
    <cfRule type="containsText" dxfId="50" priority="20" stopIfTrue="1" operator="containsText" text="Monto Item Equipamiento OK">
      <formula>NOT(ISERROR(SEARCH("Monto Item Equipamiento OK",K13)))</formula>
    </cfRule>
  </conditionalFormatting>
  <conditionalFormatting sqref="K11:L12">
    <cfRule type="containsText" dxfId="49" priority="11" stopIfTrue="1" operator="containsText" text="No puede tener">
      <formula>NOT(ISERROR(SEARCH("No puede tener",K11)))</formula>
    </cfRule>
  </conditionalFormatting>
  <conditionalFormatting sqref="K13:L15">
    <cfRule type="containsText" dxfId="48" priority="10" stopIfTrue="1" operator="containsText" text="No puede tener">
      <formula>NOT(ISERROR(SEARCH("No puede tener",K13)))</formula>
    </cfRule>
  </conditionalFormatting>
  <dataValidations xWindow="766" yWindow="436" count="5">
    <dataValidation type="custom" allowBlank="1" showInputMessage="1" showErrorMessage="1" errorTitle="Error" error="La suma de este Item B.TRASLADOS E INSTALACION a financiar por CONICYT, no puede ser Mayor al total del Item A.EQUIPAMIENTO" sqref="G10" xr:uid="{00000000-0002-0000-0500-000000000000}">
      <formula1>SUM(G9:G12)&lt;=(F7+F8)</formula1>
    </dataValidation>
    <dataValidation type="custom" allowBlank="1" showInputMessage="1" showErrorMessage="1" errorTitle="Error" error="La suma de este Item B.TRASLADOS E INSTALACION a financiar por CONICYT, no puede ser Mayor al total del Item A. EQUIPAMIENTO" sqref="G7:G9" xr:uid="{00000000-0002-0000-0500-000001000000}">
      <formula1>SUM(G7:G10)&lt;=(F5+F6)</formula1>
    </dataValidation>
    <dataValidation type="custom" allowBlank="1" showInputMessage="1" showErrorMessage="1" errorTitle="Error" error="La suma de este Item B.TRASLADOS E INSTALACION a financiar por CONICYT, no puede ser Mayor al total del Item A.EQUIPAMIENTO" sqref="G11" xr:uid="{00000000-0002-0000-0500-000002000000}">
      <formula1>SUM(G9:G12)&lt;=(F7+F8)</formula1>
    </dataValidation>
    <dataValidation type="custom" allowBlank="1" showInputMessage="1" showErrorMessage="1" errorTitle="Error" error="La suma de este Item B.TRASLADOS E INSTALACION a financiar por CONICYT, no puede ser Mayor al total del Item A.EQUIPAMIENTO" sqref="G12" xr:uid="{00000000-0002-0000-0500-000003000000}">
      <formula1>SUM(G9:G12)&lt;=F7+F8</formula1>
    </dataValidation>
    <dataValidation operator="greaterThanOrEqual" allowBlank="1" showInputMessage="1" sqref="H7:H15" xr:uid="{00000000-0002-0000-0500-000004000000}"/>
  </dataValidations>
  <printOptions horizontalCentered="1"/>
  <pageMargins left="0" right="0" top="0.78740157480314965" bottom="0.78740157480314965" header="0" footer="0.59055118110236227"/>
  <pageSetup paperSize="119" scale="70" orientation="landscape" r:id="rId1"/>
  <headerFooter alignWithMargins="0">
    <oddFooter>&amp;L&amp;A - &amp;F
&amp;D</oddFooter>
  </headerFooter>
  <ignoredErrors>
    <ignoredError sqref="G9:G12 I10:I1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7"/>
  <sheetViews>
    <sheetView topLeftCell="E1" zoomScale="136" zoomScaleNormal="90" workbookViewId="0">
      <selection activeCell="G9" sqref="G9"/>
    </sheetView>
  </sheetViews>
  <sheetFormatPr defaultColWidth="11.42578125" defaultRowHeight="15"/>
  <cols>
    <col min="1" max="1" width="2" style="82" customWidth="1"/>
    <col min="2" max="2" width="2.7109375" style="82" customWidth="1"/>
    <col min="3" max="3" width="26.28515625" style="82" customWidth="1"/>
    <col min="4" max="4" width="16.85546875" style="82" customWidth="1"/>
    <col min="5" max="5" width="73.42578125" style="82" customWidth="1"/>
    <col min="6" max="6" width="58" style="82" customWidth="1"/>
    <col min="7" max="7" width="104.85546875" style="82" customWidth="1"/>
    <col min="8" max="8" width="2.85546875" style="82" customWidth="1"/>
    <col min="9" max="16384" width="11.42578125" style="82"/>
  </cols>
  <sheetData>
    <row r="1" spans="1:18" s="112" customFormat="1" ht="24" customHeight="1">
      <c r="A1" s="121"/>
      <c r="B1" s="121"/>
      <c r="C1" s="463" t="s">
        <v>115</v>
      </c>
      <c r="D1" s="463"/>
      <c r="E1" s="463"/>
      <c r="F1" s="463"/>
      <c r="G1" s="463"/>
      <c r="H1" s="122"/>
      <c r="I1" s="123"/>
      <c r="J1" s="123"/>
      <c r="K1" s="123"/>
      <c r="L1" s="123"/>
      <c r="M1" s="123"/>
      <c r="N1" s="123"/>
      <c r="O1" s="123"/>
      <c r="P1" s="124"/>
      <c r="Q1" s="124"/>
      <c r="R1" s="124"/>
    </row>
    <row r="2" spans="1:18" s="135" customFormat="1" ht="34.35" customHeight="1">
      <c r="A2" s="151"/>
      <c r="B2" s="254"/>
      <c r="C2" s="335" t="s">
        <v>116</v>
      </c>
      <c r="D2" s="336" t="s">
        <v>117</v>
      </c>
      <c r="E2" s="461" t="s">
        <v>118</v>
      </c>
      <c r="F2" s="462"/>
      <c r="G2" s="462"/>
      <c r="H2" s="151"/>
    </row>
    <row r="3" spans="1:18" s="135" customFormat="1" ht="143.1" customHeight="1">
      <c r="A3" s="151"/>
      <c r="B3" s="460" t="s">
        <v>100</v>
      </c>
      <c r="C3" s="337" t="str">
        <f>+'III.- PRESUPUESTO FINAL'!E9</f>
        <v>B.1. Traslados, Seguros de Traslado, Desaduanaje e IVA de Equipo</v>
      </c>
      <c r="D3" s="338">
        <f>+'III.- PRESUPUESTO FINAL'!F9</f>
        <v>60443738.649999999</v>
      </c>
      <c r="E3" s="299" t="s">
        <v>119</v>
      </c>
      <c r="F3" s="299" t="s">
        <v>120</v>
      </c>
      <c r="G3" s="299" t="s">
        <v>121</v>
      </c>
      <c r="H3" s="255"/>
      <c r="I3" s="152"/>
      <c r="J3" s="152"/>
      <c r="K3" s="152"/>
      <c r="L3" s="152"/>
      <c r="M3" s="152"/>
      <c r="N3" s="152"/>
      <c r="O3" s="152"/>
      <c r="P3" s="256"/>
      <c r="Q3" s="256"/>
      <c r="R3" s="256"/>
    </row>
    <row r="4" spans="1:18" s="135" customFormat="1" ht="96.95" customHeight="1">
      <c r="A4" s="151"/>
      <c r="B4" s="460"/>
      <c r="C4" s="337" t="str">
        <f>+'III.- PRESUPUESTO FINAL'!E10</f>
        <v>B.2. Adecuación Espacio para Equipo</v>
      </c>
      <c r="D4" s="338">
        <f>+'III.- PRESUPUESTO FINAL'!F10</f>
        <v>1500000</v>
      </c>
      <c r="E4" s="299" t="s">
        <v>122</v>
      </c>
      <c r="F4" s="299" t="s">
        <v>123</v>
      </c>
      <c r="G4" s="299" t="s">
        <v>124</v>
      </c>
      <c r="H4" s="255"/>
      <c r="I4" s="152"/>
      <c r="J4" s="152"/>
      <c r="K4" s="152"/>
      <c r="L4" s="152"/>
      <c r="M4" s="152"/>
      <c r="N4" s="152"/>
      <c r="O4" s="152"/>
      <c r="P4" s="256"/>
      <c r="Q4" s="256"/>
      <c r="R4" s="256"/>
    </row>
    <row r="5" spans="1:18" s="135" customFormat="1" ht="170.1" customHeight="1">
      <c r="A5" s="151"/>
      <c r="B5" s="460"/>
      <c r="C5" s="337" t="str">
        <f>+'III.- PRESUPUESTO FINAL'!E11</f>
        <v>B.3. Instalación y Puesta en Marcha de Equipo</v>
      </c>
      <c r="D5" s="338">
        <f>+'III.- PRESUPUESTO FINAL'!F11</f>
        <v>5927991.9500000002</v>
      </c>
      <c r="E5" s="299" t="s">
        <v>125</v>
      </c>
      <c r="F5" s="356" t="s">
        <v>126</v>
      </c>
      <c r="G5" s="299" t="s">
        <v>127</v>
      </c>
      <c r="H5" s="255"/>
      <c r="I5" s="152"/>
      <c r="J5" s="152"/>
      <c r="K5" s="152"/>
      <c r="L5" s="152"/>
      <c r="M5" s="152"/>
      <c r="N5" s="152"/>
      <c r="O5" s="152"/>
      <c r="P5" s="256"/>
      <c r="Q5" s="256"/>
      <c r="R5" s="256"/>
    </row>
    <row r="6" spans="1:18" s="135" customFormat="1" ht="101.1" customHeight="1">
      <c r="A6" s="151"/>
      <c r="B6" s="460"/>
      <c r="C6" s="337" t="str">
        <f>+'III.- PRESUPUESTO FINAL'!E12</f>
        <v>B.4. Mantención, Garantías y Seguros de Equipo</v>
      </c>
      <c r="D6" s="339">
        <f>+'III.- PRESUPUESTO FINAL'!F12</f>
        <v>20190873.84</v>
      </c>
      <c r="E6" s="299" t="s">
        <v>128</v>
      </c>
      <c r="F6" s="299" t="s">
        <v>129</v>
      </c>
      <c r="G6" s="299" t="s">
        <v>130</v>
      </c>
      <c r="H6" s="255"/>
      <c r="I6" s="152"/>
      <c r="J6" s="152"/>
      <c r="K6" s="152"/>
      <c r="L6" s="152"/>
      <c r="M6" s="152"/>
      <c r="N6" s="152"/>
      <c r="O6" s="152"/>
      <c r="P6" s="256"/>
      <c r="Q6" s="256"/>
      <c r="R6" s="256"/>
    </row>
    <row r="7" spans="1:18" s="135" customFormat="1" ht="7.35" customHeight="1">
      <c r="A7" s="151"/>
      <c r="B7" s="257"/>
      <c r="C7" s="340"/>
      <c r="D7" s="341"/>
      <c r="E7" s="258"/>
      <c r="F7" s="256"/>
      <c r="G7" s="256"/>
      <c r="H7" s="259"/>
      <c r="I7" s="256"/>
      <c r="J7" s="256"/>
      <c r="K7" s="256"/>
      <c r="L7" s="256"/>
      <c r="M7" s="256"/>
      <c r="N7" s="256"/>
      <c r="O7" s="256"/>
      <c r="P7" s="256"/>
      <c r="Q7" s="256"/>
      <c r="R7" s="256"/>
    </row>
    <row r="8" spans="1:18" s="135" customFormat="1" ht="141" customHeight="1">
      <c r="A8" s="151"/>
      <c r="B8" s="460" t="s">
        <v>131</v>
      </c>
      <c r="C8" s="337" t="str">
        <f>+'III.- PRESUPUESTO FINAL'!E13</f>
        <v>C.1. Capacitaciones</v>
      </c>
      <c r="D8" s="338">
        <f>+'III.- PRESUPUESTO FINAL'!F13</f>
        <v>12543652.899999999</v>
      </c>
      <c r="E8" s="299" t="s">
        <v>132</v>
      </c>
      <c r="F8" s="299" t="s">
        <v>133</v>
      </c>
      <c r="G8" s="299" t="s">
        <v>134</v>
      </c>
      <c r="H8" s="259"/>
      <c r="I8" s="256"/>
      <c r="J8" s="256"/>
      <c r="K8" s="256"/>
      <c r="L8" s="256"/>
      <c r="M8" s="256"/>
      <c r="N8" s="256"/>
      <c r="O8" s="256"/>
      <c r="P8" s="256"/>
      <c r="Q8" s="256"/>
      <c r="R8" s="256"/>
    </row>
    <row r="9" spans="1:18" s="135" customFormat="1" ht="372.95" customHeight="1">
      <c r="A9" s="151"/>
      <c r="B9" s="460"/>
      <c r="C9" s="337" t="str">
        <f>+'III.- PRESUPUESTO FINAL'!E14</f>
        <v>C.2. Otros Gastos de Operación</v>
      </c>
      <c r="D9" s="338">
        <f>+'III.- PRESUPUESTO FINAL'!F14</f>
        <v>85610320</v>
      </c>
      <c r="E9" s="299" t="s">
        <v>122</v>
      </c>
      <c r="F9" s="299" t="s">
        <v>123</v>
      </c>
      <c r="G9" s="299" t="s">
        <v>135</v>
      </c>
      <c r="H9" s="259"/>
      <c r="I9" s="256"/>
      <c r="J9" s="256"/>
      <c r="K9" s="256"/>
      <c r="L9" s="256"/>
      <c r="M9" s="256"/>
      <c r="N9" s="256"/>
      <c r="O9" s="256"/>
      <c r="P9" s="256"/>
      <c r="Q9" s="256"/>
      <c r="R9" s="256"/>
    </row>
    <row r="10" spans="1:18" s="135" customFormat="1" ht="150" customHeight="1">
      <c r="A10" s="151"/>
      <c r="B10" s="460"/>
      <c r="C10" s="337" t="str">
        <f>+'III.- PRESUPUESTO FINAL'!E15</f>
        <v>C.3. Gastos de Administración</v>
      </c>
      <c r="D10" s="338">
        <f>+'III.- PRESUPUESTO FINAL'!F15</f>
        <v>4278360</v>
      </c>
      <c r="E10" s="299" t="s">
        <v>132</v>
      </c>
      <c r="F10" s="299" t="s">
        <v>120</v>
      </c>
      <c r="G10" s="299" t="s">
        <v>136</v>
      </c>
      <c r="H10" s="259"/>
      <c r="I10" s="256"/>
      <c r="J10" s="256"/>
      <c r="K10" s="256"/>
      <c r="L10" s="256"/>
      <c r="M10" s="256"/>
      <c r="N10" s="256"/>
      <c r="O10" s="256"/>
      <c r="P10" s="256"/>
      <c r="Q10" s="256"/>
      <c r="R10" s="256"/>
    </row>
    <row r="11" spans="1:18" s="135" customFormat="1">
      <c r="A11" s="151"/>
      <c r="B11" s="151"/>
      <c r="C11" s="259"/>
      <c r="D11" s="259"/>
      <c r="E11" s="259"/>
      <c r="F11" s="259"/>
      <c r="G11" s="259"/>
      <c r="H11" s="259"/>
      <c r="I11" s="256"/>
      <c r="J11" s="256"/>
      <c r="K11" s="256"/>
      <c r="L11" s="256"/>
      <c r="M11" s="256"/>
      <c r="N11" s="256"/>
      <c r="O11" s="256"/>
      <c r="P11" s="256"/>
      <c r="Q11" s="256"/>
      <c r="R11" s="256"/>
    </row>
    <row r="15" spans="1:18">
      <c r="D15" s="117"/>
      <c r="E15" s="117"/>
      <c r="F15" s="117"/>
      <c r="G15" s="117"/>
      <c r="H15" s="117"/>
      <c r="I15" s="117"/>
      <c r="J15" s="117"/>
      <c r="K15" s="117"/>
      <c r="L15" s="118"/>
      <c r="M15" s="118"/>
      <c r="N15" s="118"/>
      <c r="O15" s="118"/>
      <c r="P15" s="119"/>
      <c r="Q15" s="119"/>
      <c r="R15" s="119"/>
    </row>
    <row r="16" spans="1:18">
      <c r="D16" s="120"/>
      <c r="E16" s="120"/>
      <c r="F16" s="120"/>
      <c r="G16" s="120"/>
      <c r="H16" s="120"/>
      <c r="I16" s="120"/>
      <c r="J16" s="120"/>
      <c r="K16" s="120"/>
      <c r="L16" s="120"/>
      <c r="M16" s="120"/>
      <c r="N16" s="120"/>
      <c r="O16" s="120"/>
      <c r="P16" s="120"/>
      <c r="Q16" s="120"/>
      <c r="R16" s="120"/>
    </row>
    <row r="17" spans="4:18">
      <c r="D17" s="120"/>
      <c r="E17" s="120"/>
      <c r="F17" s="120"/>
      <c r="G17" s="120"/>
      <c r="H17" s="120"/>
      <c r="I17" s="120"/>
      <c r="J17" s="120"/>
      <c r="K17" s="120"/>
      <c r="L17" s="120"/>
      <c r="M17" s="120"/>
      <c r="N17" s="120"/>
      <c r="O17" s="120"/>
      <c r="P17" s="120"/>
      <c r="Q17" s="120"/>
      <c r="R17" s="120"/>
    </row>
  </sheetData>
  <sheetProtection algorithmName="SHA-512" hashValue="HThceHRY+O66VTmEfC2NjLMMiZBqSchrYJdU8zxrv0XT4Ra/GTlemy/lCBjIW3e0lgrD7Lx8hu1Dq9NkudhsFQ==" saltValue="r3yEsr4L34oKMhlwv7vAoQ==" spinCount="100000" sheet="1" formatCells="0" formatColumns="0" formatRows="0" selectLockedCells="1"/>
  <mergeCells count="4">
    <mergeCell ref="B3:B6"/>
    <mergeCell ref="B8:B10"/>
    <mergeCell ref="E2:G2"/>
    <mergeCell ref="C1:G1"/>
  </mergeCells>
  <conditionalFormatting sqref="D6">
    <cfRule type="containsText" dxfId="47" priority="1" stopIfTrue="1" operator="containsText" text="Este Sub Item debe">
      <formula>NOT(ISERROR(SEARCH("Este Sub Item debe",D6)))</formula>
    </cfRule>
  </conditionalFormatting>
  <printOptions horizontalCentered="1"/>
  <pageMargins left="0" right="0" top="0.74803149606299213" bottom="0.74803149606299213" header="0.31496062992125984" footer="0.31496062992125984"/>
  <pageSetup scale="69" orientation="landscape" r:id="rId1"/>
  <headerFooter alignWithMargins="0">
    <oddFooter>&amp;L&amp;A - &amp;F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tabColor rgb="FF002060"/>
  </sheetPr>
  <dimension ref="A1:U30"/>
  <sheetViews>
    <sheetView showGridLines="0" topLeftCell="A2" zoomScale="90" zoomScaleNormal="90" workbookViewId="0">
      <pane xSplit="4" ySplit="6" topLeftCell="F8" activePane="bottomRight" state="frozen"/>
      <selection pane="bottomRight" activeCell="F7" sqref="F7"/>
      <selection pane="bottomLeft" activeCell="A8" sqref="A8"/>
      <selection pane="topRight" activeCell="E2" sqref="E2"/>
    </sheetView>
  </sheetViews>
  <sheetFormatPr defaultColWidth="11.42578125" defaultRowHeight="12"/>
  <cols>
    <col min="1" max="1" width="3" style="2" customWidth="1"/>
    <col min="2" max="2" width="3.85546875" style="2" customWidth="1"/>
    <col min="3" max="3" width="15" style="2" customWidth="1"/>
    <col min="4" max="4" width="32.140625" style="2" customWidth="1"/>
    <col min="5" max="16" width="15.42578125" style="2" customWidth="1"/>
    <col min="17" max="17" width="3.42578125" style="2" customWidth="1"/>
    <col min="18" max="18" width="12.7109375" style="2" customWidth="1"/>
    <col min="19" max="19" width="17.42578125" style="2" customWidth="1"/>
    <col min="20" max="20" width="20.42578125" style="2" customWidth="1"/>
    <col min="21" max="21" width="16.42578125" style="2" hidden="1" customWidth="1"/>
    <col min="22" max="22" width="9.42578125" style="2" customWidth="1"/>
    <col min="23" max="16384" width="11.42578125" style="2"/>
  </cols>
  <sheetData>
    <row r="1" spans="1:19" ht="9" customHeight="1">
      <c r="A1" s="1"/>
      <c r="B1" s="1"/>
      <c r="C1" s="1"/>
      <c r="D1" s="1"/>
      <c r="E1" s="1"/>
      <c r="F1" s="1"/>
      <c r="G1" s="1"/>
      <c r="H1" s="1"/>
      <c r="I1" s="1"/>
      <c r="J1" s="1"/>
      <c r="K1" s="1"/>
      <c r="L1" s="1"/>
      <c r="M1" s="1"/>
      <c r="N1" s="1"/>
      <c r="O1" s="1"/>
      <c r="P1" s="1"/>
      <c r="Q1" s="1"/>
    </row>
    <row r="2" spans="1:19" ht="28.5" customHeight="1">
      <c r="A2" s="1"/>
      <c r="B2" s="475" t="s">
        <v>137</v>
      </c>
      <c r="C2" s="475"/>
      <c r="D2" s="475"/>
      <c r="E2" s="475"/>
      <c r="F2" s="475"/>
      <c r="G2" s="475"/>
      <c r="H2" s="475"/>
      <c r="I2" s="475"/>
      <c r="J2" s="475"/>
      <c r="K2" s="475"/>
      <c r="L2" s="475"/>
      <c r="M2" s="475"/>
      <c r="N2" s="475"/>
      <c r="O2" s="475"/>
      <c r="P2" s="475"/>
      <c r="Q2" s="1"/>
    </row>
    <row r="3" spans="1:19" hidden="1">
      <c r="A3" s="1"/>
      <c r="B3" s="476"/>
      <c r="C3" s="476"/>
      <c r="D3" s="476"/>
      <c r="E3" s="476"/>
      <c r="F3" s="476"/>
      <c r="G3" s="476"/>
      <c r="H3" s="476"/>
      <c r="I3" s="476"/>
      <c r="J3" s="476"/>
      <c r="K3" s="476"/>
      <c r="L3" s="476"/>
      <c r="M3" s="476"/>
      <c r="N3" s="476"/>
      <c r="O3" s="476"/>
      <c r="P3" s="476"/>
      <c r="Q3" s="1"/>
    </row>
    <row r="4" spans="1:19" ht="9" customHeight="1" thickBot="1">
      <c r="A4" s="1"/>
      <c r="B4" s="477"/>
      <c r="C4" s="478"/>
      <c r="D4" s="478"/>
      <c r="E4" s="478"/>
      <c r="F4" s="478"/>
      <c r="G4" s="478"/>
      <c r="H4" s="478"/>
      <c r="I4" s="478"/>
      <c r="J4" s="478"/>
      <c r="K4" s="478"/>
      <c r="L4" s="478"/>
      <c r="M4" s="478"/>
      <c r="N4" s="478"/>
      <c r="O4" s="478"/>
      <c r="P4" s="478"/>
      <c r="Q4" s="1"/>
    </row>
    <row r="5" spans="1:19" ht="13.5" hidden="1" customHeight="1" thickBot="1">
      <c r="A5" s="1"/>
      <c r="B5" s="1"/>
      <c r="C5" s="1"/>
      <c r="D5" s="1"/>
      <c r="E5" s="1"/>
      <c r="F5" s="1"/>
      <c r="G5" s="1"/>
      <c r="H5" s="1"/>
      <c r="I5" s="1"/>
      <c r="J5" s="1"/>
      <c r="K5" s="1"/>
      <c r="L5" s="1"/>
      <c r="M5" s="1"/>
      <c r="N5" s="1"/>
      <c r="O5" s="1"/>
      <c r="P5" s="3"/>
      <c r="Q5" s="1"/>
    </row>
    <row r="6" spans="1:19" ht="25.5" customHeight="1" thickBot="1">
      <c r="A6" s="1"/>
      <c r="B6" s="479" t="s">
        <v>138</v>
      </c>
      <c r="C6" s="479"/>
      <c r="D6" s="480"/>
      <c r="E6" s="481" t="s">
        <v>117</v>
      </c>
      <c r="F6" s="482"/>
      <c r="G6" s="483"/>
      <c r="H6" s="481" t="s">
        <v>139</v>
      </c>
      <c r="I6" s="482"/>
      <c r="J6" s="483"/>
      <c r="K6" s="484" t="s">
        <v>112</v>
      </c>
      <c r="L6" s="485"/>
      <c r="M6" s="485"/>
      <c r="N6" s="485"/>
      <c r="O6" s="485"/>
      <c r="P6" s="486"/>
      <c r="Q6" s="4"/>
    </row>
    <row r="7" spans="1:19" ht="38.1" customHeight="1" thickBot="1">
      <c r="A7" s="3"/>
      <c r="B7" s="467" t="s">
        <v>96</v>
      </c>
      <c r="C7" s="468"/>
      <c r="D7" s="5" t="s">
        <v>97</v>
      </c>
      <c r="E7" s="6" t="s">
        <v>140</v>
      </c>
      <c r="F7" s="85" t="s">
        <v>141</v>
      </c>
      <c r="G7" s="8" t="s">
        <v>142</v>
      </c>
      <c r="H7" s="6" t="s">
        <v>140</v>
      </c>
      <c r="I7" s="7" t="str">
        <f>+$F$7</f>
        <v>Modificación Solicitada
(Fecha:    )</v>
      </c>
      <c r="J7" s="8" t="s">
        <v>142</v>
      </c>
      <c r="K7" s="6" t="s">
        <v>143</v>
      </c>
      <c r="L7" s="7" t="str">
        <f>+$F$7</f>
        <v>Modificación Solicitada
(Fecha:    )</v>
      </c>
      <c r="M7" s="8" t="s">
        <v>144</v>
      </c>
      <c r="N7" s="6" t="s">
        <v>145</v>
      </c>
      <c r="O7" s="7" t="str">
        <f>+$F$7</f>
        <v>Modificación Solicitada
(Fecha:    )</v>
      </c>
      <c r="P7" s="8" t="s">
        <v>146</v>
      </c>
      <c r="Q7" s="4"/>
    </row>
    <row r="8" spans="1:19" ht="38.1" customHeight="1">
      <c r="A8" s="3"/>
      <c r="B8" s="469" t="s">
        <v>101</v>
      </c>
      <c r="C8" s="471" t="s">
        <v>100</v>
      </c>
      <c r="D8" s="9" t="s">
        <v>69</v>
      </c>
      <c r="E8" s="10">
        <f t="shared" ref="E8:E16" si="0">+H8+K8+N8</f>
        <v>236450010</v>
      </c>
      <c r="F8" s="11">
        <f t="shared" ref="F8:F16" si="1">+I8+L8+O8</f>
        <v>0</v>
      </c>
      <c r="G8" s="12">
        <f t="shared" ref="G8:G16" si="2">SUM(E8:F8)</f>
        <v>236450010</v>
      </c>
      <c r="H8" s="13">
        <f>+'III.- PRESUPUESTO FINAL'!G7</f>
        <v>218950010</v>
      </c>
      <c r="I8" s="14"/>
      <c r="J8" s="15">
        <f t="shared" ref="J8:J13" si="3">SUM(H8:I8)</f>
        <v>218950010</v>
      </c>
      <c r="K8" s="13">
        <f>+'III.- PRESUPUESTO FINAL'!H7</f>
        <v>17500000</v>
      </c>
      <c r="L8" s="16"/>
      <c r="M8" s="17">
        <f t="shared" ref="M8:M16" si="4">SUM(K8:L8)</f>
        <v>17500000</v>
      </c>
      <c r="N8" s="18"/>
      <c r="O8" s="19"/>
      <c r="P8" s="20"/>
      <c r="Q8" s="4"/>
      <c r="S8" s="21"/>
    </row>
    <row r="9" spans="1:19" ht="38.1" customHeight="1">
      <c r="A9" s="3"/>
      <c r="B9" s="470"/>
      <c r="C9" s="472"/>
      <c r="D9" s="22" t="s">
        <v>33</v>
      </c>
      <c r="E9" s="23">
        <f t="shared" si="0"/>
        <v>0</v>
      </c>
      <c r="F9" s="24">
        <f t="shared" si="1"/>
        <v>0</v>
      </c>
      <c r="G9" s="25">
        <f t="shared" si="2"/>
        <v>0</v>
      </c>
      <c r="H9" s="26">
        <f>+'III.- PRESUPUESTO FINAL'!G8</f>
        <v>0</v>
      </c>
      <c r="I9" s="27"/>
      <c r="J9" s="28">
        <f t="shared" si="3"/>
        <v>0</v>
      </c>
      <c r="K9" s="26">
        <f>+'III.- PRESUPUESTO FINAL'!H8</f>
        <v>0</v>
      </c>
      <c r="L9" s="29"/>
      <c r="M9" s="30">
        <f t="shared" si="4"/>
        <v>0</v>
      </c>
      <c r="N9" s="31"/>
      <c r="O9" s="32"/>
      <c r="P9" s="33"/>
      <c r="Q9" s="4"/>
      <c r="S9" s="21"/>
    </row>
    <row r="10" spans="1:19" ht="38.1" customHeight="1">
      <c r="A10" s="3"/>
      <c r="B10" s="470" t="s">
        <v>102</v>
      </c>
      <c r="C10" s="472" t="s">
        <v>103</v>
      </c>
      <c r="D10" s="22" t="s">
        <v>57</v>
      </c>
      <c r="E10" s="34">
        <f t="shared" si="0"/>
        <v>60443738.649999999</v>
      </c>
      <c r="F10" s="35">
        <f t="shared" si="1"/>
        <v>0</v>
      </c>
      <c r="G10" s="36">
        <f t="shared" si="2"/>
        <v>60443738.649999999</v>
      </c>
      <c r="H10" s="26">
        <f>+'III.- PRESUPUESTO FINAL'!G9</f>
        <v>60443738.649999999</v>
      </c>
      <c r="I10" s="37"/>
      <c r="J10" s="38">
        <f t="shared" si="3"/>
        <v>60443738.649999999</v>
      </c>
      <c r="K10" s="39">
        <f>+'III.- PRESUPUESTO FINAL'!H9</f>
        <v>0</v>
      </c>
      <c r="L10" s="40"/>
      <c r="M10" s="41">
        <f t="shared" si="4"/>
        <v>0</v>
      </c>
      <c r="N10" s="31"/>
      <c r="O10" s="32"/>
      <c r="P10" s="33"/>
      <c r="Q10" s="4"/>
      <c r="S10" s="42"/>
    </row>
    <row r="11" spans="1:19" ht="38.1" customHeight="1">
      <c r="A11" s="3"/>
      <c r="B11" s="470"/>
      <c r="C11" s="472"/>
      <c r="D11" s="22" t="s">
        <v>73</v>
      </c>
      <c r="E11" s="34">
        <f t="shared" si="0"/>
        <v>1500000</v>
      </c>
      <c r="F11" s="35">
        <f t="shared" si="1"/>
        <v>0</v>
      </c>
      <c r="G11" s="36">
        <f t="shared" si="2"/>
        <v>1500000</v>
      </c>
      <c r="H11" s="26">
        <f>+'III.- PRESUPUESTO FINAL'!G10</f>
        <v>0</v>
      </c>
      <c r="I11" s="37"/>
      <c r="J11" s="38">
        <f t="shared" si="3"/>
        <v>0</v>
      </c>
      <c r="K11" s="39">
        <f>+'III.- PRESUPUESTO FINAL'!H10</f>
        <v>0</v>
      </c>
      <c r="L11" s="40"/>
      <c r="M11" s="41">
        <f t="shared" si="4"/>
        <v>0</v>
      </c>
      <c r="N11" s="43">
        <f>+'III.- PRESUPUESTO FINAL'!I10</f>
        <v>1500000</v>
      </c>
      <c r="O11" s="40"/>
      <c r="P11" s="41">
        <f t="shared" ref="P11:P16" si="5">SUM(N11:O11)</f>
        <v>1500000</v>
      </c>
      <c r="Q11" s="4"/>
    </row>
    <row r="12" spans="1:19" ht="38.1" customHeight="1">
      <c r="A12" s="3"/>
      <c r="B12" s="470"/>
      <c r="C12" s="472"/>
      <c r="D12" s="22" t="s">
        <v>58</v>
      </c>
      <c r="E12" s="34">
        <f t="shared" si="0"/>
        <v>5927991.9500000002</v>
      </c>
      <c r="F12" s="35">
        <f t="shared" si="1"/>
        <v>0</v>
      </c>
      <c r="G12" s="36">
        <f t="shared" si="2"/>
        <v>5927991.9500000002</v>
      </c>
      <c r="H12" s="26">
        <f>+'III.- PRESUPUESTO FINAL'!G11</f>
        <v>5927991.9500000002</v>
      </c>
      <c r="I12" s="37"/>
      <c r="J12" s="38">
        <f t="shared" si="3"/>
        <v>5927991.9500000002</v>
      </c>
      <c r="K12" s="39">
        <f>+'III.- PRESUPUESTO FINAL'!H11</f>
        <v>0</v>
      </c>
      <c r="L12" s="40"/>
      <c r="M12" s="41">
        <f t="shared" si="4"/>
        <v>0</v>
      </c>
      <c r="N12" s="43">
        <f>+'III.- PRESUPUESTO FINAL'!I11</f>
        <v>0</v>
      </c>
      <c r="O12" s="40"/>
      <c r="P12" s="41">
        <f t="shared" si="5"/>
        <v>0</v>
      </c>
      <c r="Q12" s="4"/>
      <c r="R12" s="464" t="str">
        <f>IF(H12="","No puede tener celdas vacías",IF(H13="","No puede tener celdas vacías",IF(K12="","No puede tener celdas vacías",IF(K13="","No puede tener celdas vacías",IF(P11="","No puede tener celdas vacías",IF(P12="","No puede tener celdas vacías",IF(P13="","No puede tener celdas vacías","")))))))</f>
        <v/>
      </c>
      <c r="S12" s="464"/>
    </row>
    <row r="13" spans="1:19" ht="38.1" customHeight="1">
      <c r="A13" s="3"/>
      <c r="B13" s="470"/>
      <c r="C13" s="472"/>
      <c r="D13" s="22" t="s">
        <v>59</v>
      </c>
      <c r="E13" s="44">
        <f t="shared" si="0"/>
        <v>20190873.84</v>
      </c>
      <c r="F13" s="86">
        <f t="shared" si="1"/>
        <v>0</v>
      </c>
      <c r="G13" s="45">
        <f>IF(SUM(E13:F13)=0,"Este Sub-ítem debe tener Presupuesto",SUM(E13:F13))</f>
        <v>20190873.84</v>
      </c>
      <c r="H13" s="26">
        <f>+'III.- PRESUPUESTO FINAL'!G12</f>
        <v>19064080.84</v>
      </c>
      <c r="I13" s="37"/>
      <c r="J13" s="38">
        <f t="shared" si="3"/>
        <v>19064080.84</v>
      </c>
      <c r="K13" s="39">
        <f>+'III.- PRESUPUESTO FINAL'!H12</f>
        <v>0</v>
      </c>
      <c r="L13" s="40"/>
      <c r="M13" s="41">
        <f t="shared" si="4"/>
        <v>0</v>
      </c>
      <c r="N13" s="43">
        <f>+'III.- PRESUPUESTO FINAL'!I12</f>
        <v>1126793</v>
      </c>
      <c r="O13" s="40"/>
      <c r="P13" s="41">
        <f t="shared" si="5"/>
        <v>1126793</v>
      </c>
      <c r="Q13" s="4"/>
      <c r="R13" s="464"/>
      <c r="S13" s="464"/>
    </row>
    <row r="14" spans="1:19" ht="38.1" customHeight="1">
      <c r="A14" s="3"/>
      <c r="B14" s="487" t="s">
        <v>105</v>
      </c>
      <c r="C14" s="472" t="s">
        <v>106</v>
      </c>
      <c r="D14" s="22" t="s">
        <v>60</v>
      </c>
      <c r="E14" s="46">
        <f t="shared" si="0"/>
        <v>12543652.899999999</v>
      </c>
      <c r="F14" s="47">
        <f t="shared" si="1"/>
        <v>0</v>
      </c>
      <c r="G14" s="48">
        <f t="shared" si="2"/>
        <v>12543652.899999999</v>
      </c>
      <c r="H14" s="49"/>
      <c r="I14" s="50"/>
      <c r="J14" s="51"/>
      <c r="K14" s="39">
        <f>+'III.- PRESUPUESTO FINAL'!H13</f>
        <v>6606772.8999999994</v>
      </c>
      <c r="L14" s="40"/>
      <c r="M14" s="41">
        <f t="shared" si="4"/>
        <v>6606772.8999999994</v>
      </c>
      <c r="N14" s="43">
        <f>+'III.- PRESUPUESTO FINAL'!I13</f>
        <v>5936880</v>
      </c>
      <c r="O14" s="40"/>
      <c r="P14" s="41">
        <f t="shared" si="5"/>
        <v>5936880</v>
      </c>
      <c r="Q14" s="4"/>
      <c r="R14" s="464" t="str">
        <f>IF(K14="","No puede tener celdas vacías",IF(K16="","No puede tener celdas vacías",IF(P14="","No puede tener celdas vacías",IF(P16="","No puede tener celdas vacías",""))))</f>
        <v/>
      </c>
      <c r="S14" s="464"/>
    </row>
    <row r="15" spans="1:19" ht="38.1" customHeight="1">
      <c r="A15" s="3"/>
      <c r="B15" s="488"/>
      <c r="C15" s="490"/>
      <c r="D15" s="22" t="s">
        <v>76</v>
      </c>
      <c r="E15" s="34">
        <f t="shared" ref="E15" si="6">+H15+K15+N15</f>
        <v>85610320</v>
      </c>
      <c r="F15" s="35">
        <f t="shared" ref="F15" si="7">+I15+L15+O15</f>
        <v>0</v>
      </c>
      <c r="G15" s="36">
        <f t="shared" ref="G15" si="8">SUM(E15:F15)</f>
        <v>85610320</v>
      </c>
      <c r="H15" s="87"/>
      <c r="I15" s="88"/>
      <c r="J15" s="89"/>
      <c r="K15" s="39">
        <f>+'III.- PRESUPUESTO FINAL'!H14</f>
        <v>0</v>
      </c>
      <c r="L15" s="40"/>
      <c r="M15" s="41">
        <f t="shared" ref="M15" si="9">SUM(K15:L15)</f>
        <v>0</v>
      </c>
      <c r="N15" s="43">
        <f>+'III.- PRESUPUESTO FINAL'!I14</f>
        <v>85610320</v>
      </c>
      <c r="O15" s="40"/>
      <c r="P15" s="41">
        <f t="shared" si="5"/>
        <v>85610320</v>
      </c>
      <c r="Q15" s="4"/>
      <c r="R15" s="464"/>
      <c r="S15" s="464"/>
    </row>
    <row r="16" spans="1:19" ht="38.1" customHeight="1" thickBot="1">
      <c r="A16" s="3"/>
      <c r="B16" s="489"/>
      <c r="C16" s="491"/>
      <c r="D16" s="58" t="s">
        <v>107</v>
      </c>
      <c r="E16" s="52">
        <f t="shared" si="0"/>
        <v>4278360</v>
      </c>
      <c r="F16" s="53">
        <f t="shared" si="1"/>
        <v>0</v>
      </c>
      <c r="G16" s="54">
        <f t="shared" si="2"/>
        <v>4278360</v>
      </c>
      <c r="H16" s="59"/>
      <c r="I16" s="60"/>
      <c r="J16" s="61"/>
      <c r="K16" s="62">
        <f>+'III.- PRESUPUESTO FINAL'!H15</f>
        <v>0</v>
      </c>
      <c r="L16" s="63"/>
      <c r="M16" s="64">
        <f t="shared" si="4"/>
        <v>0</v>
      </c>
      <c r="N16" s="65">
        <f>+'III.- PRESUPUESTO FINAL'!I15</f>
        <v>4278360</v>
      </c>
      <c r="O16" s="63"/>
      <c r="P16" s="64">
        <f t="shared" si="5"/>
        <v>4278360</v>
      </c>
      <c r="Q16" s="4"/>
      <c r="R16" s="464"/>
      <c r="S16" s="464"/>
    </row>
    <row r="17" spans="1:17" ht="38.1" customHeight="1" thickBot="1">
      <c r="A17" s="1"/>
      <c r="B17" s="465"/>
      <c r="C17" s="466"/>
      <c r="D17" s="66" t="s">
        <v>79</v>
      </c>
      <c r="E17" s="67">
        <f t="shared" ref="E17:P17" si="10">SUM(E8:E16)</f>
        <v>426944947.33999991</v>
      </c>
      <c r="F17" s="68">
        <f t="shared" si="10"/>
        <v>0</v>
      </c>
      <c r="G17" s="69">
        <f t="shared" si="10"/>
        <v>426944947.33999991</v>
      </c>
      <c r="H17" s="67">
        <f t="shared" si="10"/>
        <v>304385821.43999994</v>
      </c>
      <c r="I17" s="68">
        <f t="shared" si="10"/>
        <v>0</v>
      </c>
      <c r="J17" s="69">
        <f t="shared" si="10"/>
        <v>304385821.43999994</v>
      </c>
      <c r="K17" s="67">
        <f t="shared" si="10"/>
        <v>24106772.899999999</v>
      </c>
      <c r="L17" s="70">
        <f t="shared" si="10"/>
        <v>0</v>
      </c>
      <c r="M17" s="69">
        <f t="shared" si="10"/>
        <v>24106772.899999999</v>
      </c>
      <c r="N17" s="71">
        <f t="shared" si="10"/>
        <v>98452353</v>
      </c>
      <c r="O17" s="70">
        <f t="shared" si="10"/>
        <v>0</v>
      </c>
      <c r="P17" s="69">
        <f t="shared" si="10"/>
        <v>98452353</v>
      </c>
      <c r="Q17" s="4"/>
    </row>
    <row r="18" spans="1:17">
      <c r="A18" s="1"/>
      <c r="B18" s="1"/>
      <c r="C18" s="1"/>
      <c r="D18" s="72"/>
      <c r="E18" s="1"/>
      <c r="F18" s="1"/>
      <c r="G18" s="1"/>
      <c r="H18" s="73"/>
      <c r="I18" s="73"/>
      <c r="J18" s="73"/>
      <c r="K18" s="73"/>
      <c r="L18" s="73"/>
      <c r="M18" s="73"/>
      <c r="N18" s="73"/>
      <c r="O18" s="73"/>
      <c r="P18" s="1"/>
      <c r="Q18" s="1"/>
    </row>
    <row r="20" spans="1:17" ht="31.35" customHeight="1">
      <c r="J20" s="90" t="str">
        <f>UPPER(J7)</f>
        <v>PRESUPUESTO MODIFICADO</v>
      </c>
    </row>
    <row r="21" spans="1:17" ht="22.35" customHeight="1">
      <c r="H21" s="75" t="s">
        <v>80</v>
      </c>
      <c r="I21" s="76"/>
      <c r="J21" s="77">
        <f>SUM($J$8:$J$9)</f>
        <v>218950010</v>
      </c>
    </row>
    <row r="22" spans="1:17" ht="22.35" customHeight="1">
      <c r="H22" s="75" t="s">
        <v>85</v>
      </c>
      <c r="I22" s="76"/>
      <c r="J22" s="77">
        <f>SUM($J$10:$J$13)</f>
        <v>85435811.439999998</v>
      </c>
    </row>
    <row r="23" spans="1:17" ht="22.35" customHeight="1">
      <c r="H23" s="76" t="s">
        <v>86</v>
      </c>
      <c r="I23" s="76"/>
      <c r="J23" s="78">
        <f>+IF(J21&gt;0,J22/J21,0)</f>
        <v>0.39020693097935916</v>
      </c>
    </row>
    <row r="26" spans="1:17" s="79" customFormat="1" ht="22.35" customHeight="1">
      <c r="E26" s="91"/>
      <c r="G26" s="2"/>
      <c r="H26" s="75" t="s">
        <v>80</v>
      </c>
      <c r="I26" s="76"/>
      <c r="J26" s="77">
        <f>SUM($G$8:$G$9)</f>
        <v>236450010</v>
      </c>
    </row>
    <row r="27" spans="1:17" s="79" customFormat="1" ht="22.35" customHeight="1">
      <c r="E27" s="91"/>
      <c r="G27" s="2"/>
      <c r="H27" s="473" t="s">
        <v>147</v>
      </c>
      <c r="I27" s="474"/>
      <c r="J27" s="77">
        <f>SUM($M$8:$M$10)+SUM($M$12:$M$14)</f>
        <v>24106772.899999999</v>
      </c>
      <c r="K27" s="78">
        <f>+IF($J$26&gt;0,J27/$J$26,0)</f>
        <v>0.10195293669050806</v>
      </c>
      <c r="L27" s="79" t="str">
        <f>IF(K27&lt;10%,"El Mínimo debe ser 10%","OK")</f>
        <v>OK</v>
      </c>
    </row>
    <row r="28" spans="1:17" s="79" customFormat="1" ht="22.35" customHeight="1">
      <c r="G28" s="2"/>
      <c r="H28" s="75" t="s">
        <v>148</v>
      </c>
      <c r="I28" s="76"/>
      <c r="J28" s="77">
        <f>+M17</f>
        <v>24106772.899999999</v>
      </c>
      <c r="K28" s="78">
        <f>+IF($J$26&gt;0,J28/$J$26,0)</f>
        <v>0.10195293669050806</v>
      </c>
    </row>
    <row r="29" spans="1:17" s="79" customFormat="1" ht="22.35" customHeight="1">
      <c r="E29" s="91"/>
      <c r="G29" s="2"/>
      <c r="H29" s="75" t="s">
        <v>149</v>
      </c>
      <c r="I29" s="76"/>
      <c r="J29" s="77">
        <f>+P17</f>
        <v>98452353</v>
      </c>
      <c r="K29" s="78">
        <f>+IF($J$26&gt;0,J29/$J$26,0)</f>
        <v>0.41637703039217466</v>
      </c>
    </row>
    <row r="30" spans="1:17" s="79" customFormat="1" ht="22.35" customHeight="1">
      <c r="E30" s="91"/>
      <c r="G30" s="2"/>
      <c r="H30" s="80" t="s">
        <v>150</v>
      </c>
      <c r="I30" s="81"/>
      <c r="J30" s="77">
        <f>SUM(J28:J29)</f>
        <v>122559125.90000001</v>
      </c>
      <c r="K30" s="78">
        <f>+IF($J$26&gt;0,J30/$J$26,0)</f>
        <v>0.51832996708268275</v>
      </c>
      <c r="L30" s="79" t="str">
        <f>IF(K30&lt;50%,"El Mínimo debe ser 50%","OK")</f>
        <v>OK</v>
      </c>
    </row>
  </sheetData>
  <sheetProtection algorithmName="SHA-512" hashValue="sh7KqjTP8sREvVQETvOSGzraQlj2O1frYSNa9rvSkCC9OmMB8S5Ao48S75UJfeb3LhTF6S97T6HGKTnv6ZVxGw==" saltValue="aNIfz+1SLzLBN/GymbZYPw==" spinCount="100000" sheet="1" selectLockedCells="1"/>
  <mergeCells count="18">
    <mergeCell ref="H27:I27"/>
    <mergeCell ref="B2:P2"/>
    <mergeCell ref="B3:P3"/>
    <mergeCell ref="B4:P4"/>
    <mergeCell ref="B6:D6"/>
    <mergeCell ref="E6:G6"/>
    <mergeCell ref="H6:J6"/>
    <mergeCell ref="K6:P6"/>
    <mergeCell ref="B14:B16"/>
    <mergeCell ref="C14:C16"/>
    <mergeCell ref="R14:S16"/>
    <mergeCell ref="B17:C17"/>
    <mergeCell ref="B7:C7"/>
    <mergeCell ref="B8:B9"/>
    <mergeCell ref="C8:C9"/>
    <mergeCell ref="B10:B13"/>
    <mergeCell ref="C10:C13"/>
    <mergeCell ref="R12:S13"/>
  </mergeCells>
  <conditionalFormatting sqref="E13">
    <cfRule type="containsText" dxfId="46" priority="35" operator="containsText" text="Este Sub Item">
      <formula>NOT(ISERROR(SEARCH("Este Sub Item",E13)))</formula>
    </cfRule>
    <cfRule type="containsText" dxfId="45" priority="36" operator="containsText" text="Este Item debe">
      <formula>NOT(ISERROR(SEARCH("Este Item debe",E13)))</formula>
    </cfRule>
  </conditionalFormatting>
  <conditionalFormatting sqref="E8:G9">
    <cfRule type="containsText" dxfId="44" priority="16" operator="containsText" text="Monto Excede">
      <formula>NOT(ISERROR(SEARCH("Monto Excede",E8)))</formula>
    </cfRule>
    <cfRule type="containsText" dxfId="43" priority="17" operator="containsText" text="M$50.000">
      <formula>NOT(ISERROR(SEARCH("M$50.000",E8)))</formula>
    </cfRule>
  </conditionalFormatting>
  <conditionalFormatting sqref="F13:G13">
    <cfRule type="containsText" dxfId="42" priority="18" operator="containsText" text="Este Sub-ítem">
      <formula>NOT(ISERROR(SEARCH("Este Sub-ítem",F13)))</formula>
    </cfRule>
  </conditionalFormatting>
  <conditionalFormatting sqref="H17:J17">
    <cfRule type="cellIs" dxfId="41" priority="1" operator="greaterThan">
      <formula>400000000</formula>
    </cfRule>
  </conditionalFormatting>
  <conditionalFormatting sqref="J23">
    <cfRule type="cellIs" dxfId="40" priority="14" stopIfTrue="1" operator="greaterThan">
      <formula>0.5</formula>
    </cfRule>
  </conditionalFormatting>
  <conditionalFormatting sqref="K27">
    <cfRule type="cellIs" dxfId="39" priority="5" stopIfTrue="1" operator="lessThan">
      <formula>0.1</formula>
    </cfRule>
  </conditionalFormatting>
  <conditionalFormatting sqref="K30">
    <cfRule type="cellIs" dxfId="38" priority="4" stopIfTrue="1" operator="lessThan">
      <formula>0.5</formula>
    </cfRule>
  </conditionalFormatting>
  <conditionalFormatting sqref="L27">
    <cfRule type="containsText" dxfId="37" priority="3" stopIfTrue="1" operator="containsText" text="El Mínimo debe ser 10%">
      <formula>NOT(ISERROR(SEARCH("El Mínimo debe ser 10%",L27)))</formula>
    </cfRule>
  </conditionalFormatting>
  <conditionalFormatting sqref="L30">
    <cfRule type="containsText" dxfId="36" priority="7" stopIfTrue="1" operator="containsText" text="El Mínimo debe ser 50%">
      <formula>NOT(ISERROR(SEARCH("El Mínimo debe ser 50%",L30)))</formula>
    </cfRule>
    <cfRule type="containsText" dxfId="35" priority="8" stopIfTrue="1" operator="containsText" text="El mímo debe ser 50%">
      <formula>NOT(ISERROR(SEARCH("El mímo debe ser 50%",L30)))</formula>
    </cfRule>
  </conditionalFormatting>
  <conditionalFormatting sqref="R12">
    <cfRule type="containsText" dxfId="34" priority="25" stopIfTrue="1" operator="containsText" text="Monto Item Equipamiento OK">
      <formula>NOT(ISERROR(SEARCH("Monto Item Equipamiento OK",R12)))</formula>
    </cfRule>
    <cfRule type="containsText" dxfId="33" priority="26" operator="containsText" text="$50.000.000">
      <formula>NOT(ISERROR(SEARCH("$50.000.000",R12)))</formula>
    </cfRule>
    <cfRule type="containsText" dxfId="32" priority="27" operator="containsText" text="Excede">
      <formula>NOT(ISERROR(SEARCH("Excede",R12)))</formula>
    </cfRule>
    <cfRule type="containsText" dxfId="31" priority="28" operator="containsText" text="M$50.000">
      <formula>NOT(ISERROR(SEARCH("M$50.000",R12)))</formula>
    </cfRule>
  </conditionalFormatting>
  <conditionalFormatting sqref="R14">
    <cfRule type="containsText" dxfId="30" priority="29" operator="containsText" text="$50.000.000">
      <formula>NOT(ISERROR(SEARCH("$50.000.000",R14)))</formula>
    </cfRule>
    <cfRule type="containsText" dxfId="29" priority="30" operator="containsText" text="Excede">
      <formula>NOT(ISERROR(SEARCH("Excede",R14)))</formula>
    </cfRule>
    <cfRule type="containsText" dxfId="28" priority="31" operator="containsText" text="M$50.000">
      <formula>NOT(ISERROR(SEARCH("M$50.000",R14)))</formula>
    </cfRule>
    <cfRule type="containsText" dxfId="27" priority="32" stopIfTrue="1" operator="containsText" text="Monto Item Equipamiento OK">
      <formula>NOT(ISERROR(SEARCH("Monto Item Equipamiento OK",R14)))</formula>
    </cfRule>
  </conditionalFormatting>
  <conditionalFormatting sqref="R12:S13">
    <cfRule type="containsText" dxfId="26" priority="24" stopIfTrue="1" operator="containsText" text="No puede tener">
      <formula>NOT(ISERROR(SEARCH("No puede tener",R12)))</formula>
    </cfRule>
  </conditionalFormatting>
  <conditionalFormatting sqref="R14:S16">
    <cfRule type="containsText" dxfId="25" priority="2" stopIfTrue="1" operator="containsText" text="No puede tener">
      <formula>NOT(ISERROR(SEARCH("No puede tener",R14)))</formula>
    </cfRule>
  </conditionalFormatting>
  <printOptions horizontalCentered="1"/>
  <pageMargins left="0" right="0" top="0.78740157480314965" bottom="0.78740157480314965" header="0" footer="0.59055118110236227"/>
  <pageSetup paperSize="5" scale="70" orientation="landscape" r:id="rId1"/>
  <headerFooter alignWithMargins="0">
    <oddFooter>&amp;L&amp;A - &amp;F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tabColor rgb="FF002060"/>
  </sheetPr>
  <dimension ref="A1:U29"/>
  <sheetViews>
    <sheetView showGridLines="0" topLeftCell="A2" zoomScale="90" zoomScaleNormal="90" workbookViewId="0">
      <pane xSplit="4" ySplit="6" topLeftCell="E8" activePane="bottomRight" state="frozen"/>
      <selection pane="bottomRight" activeCell="I9" sqref="I9"/>
      <selection pane="bottomLeft" activeCell="A8" sqref="A8"/>
      <selection pane="topRight" activeCell="E2" sqref="E2"/>
    </sheetView>
  </sheetViews>
  <sheetFormatPr defaultColWidth="11.42578125" defaultRowHeight="12"/>
  <cols>
    <col min="1" max="1" width="3" style="2" customWidth="1"/>
    <col min="2" max="2" width="3.85546875" style="2" customWidth="1"/>
    <col min="3" max="3" width="13.85546875" style="2" customWidth="1"/>
    <col min="4" max="4" width="32.7109375" style="2" customWidth="1"/>
    <col min="5" max="16" width="15.42578125" style="2" customWidth="1"/>
    <col min="17" max="17" width="3.42578125" style="2" customWidth="1"/>
    <col min="18" max="18" width="12.7109375" style="2" customWidth="1"/>
    <col min="19" max="19" width="17.42578125" style="2" customWidth="1"/>
    <col min="20" max="20" width="20.42578125" style="2" customWidth="1"/>
    <col min="21" max="21" width="16.42578125" style="2" hidden="1" customWidth="1"/>
    <col min="22" max="22" width="9.42578125" style="2" customWidth="1"/>
    <col min="23" max="16384" width="11.42578125" style="2"/>
  </cols>
  <sheetData>
    <row r="1" spans="1:19" ht="9" customHeight="1">
      <c r="A1" s="1"/>
      <c r="B1" s="1"/>
      <c r="C1" s="1"/>
      <c r="D1" s="1"/>
      <c r="E1" s="1"/>
      <c r="F1" s="1"/>
      <c r="G1" s="1"/>
      <c r="H1" s="1"/>
      <c r="I1" s="1"/>
      <c r="J1" s="1"/>
      <c r="K1" s="1"/>
      <c r="L1" s="1"/>
      <c r="M1" s="1"/>
      <c r="N1" s="1"/>
      <c r="O1" s="1"/>
      <c r="P1" s="1"/>
      <c r="Q1" s="1"/>
    </row>
    <row r="2" spans="1:19" s="84" customFormat="1" ht="28.5" customHeight="1">
      <c r="A2" s="83"/>
      <c r="B2" s="475" t="s">
        <v>151</v>
      </c>
      <c r="C2" s="475"/>
      <c r="D2" s="475"/>
      <c r="E2" s="475"/>
      <c r="F2" s="475"/>
      <c r="G2" s="475"/>
      <c r="H2" s="475"/>
      <c r="I2" s="475"/>
      <c r="J2" s="475"/>
      <c r="K2" s="475"/>
      <c r="L2" s="475"/>
      <c r="M2" s="475"/>
      <c r="N2" s="475"/>
      <c r="O2" s="475"/>
      <c r="P2" s="475"/>
      <c r="Q2" s="83"/>
    </row>
    <row r="3" spans="1:19" hidden="1">
      <c r="A3" s="1"/>
      <c r="B3" s="476"/>
      <c r="C3" s="476"/>
      <c r="D3" s="476"/>
      <c r="E3" s="476"/>
      <c r="F3" s="476"/>
      <c r="G3" s="476"/>
      <c r="H3" s="476"/>
      <c r="I3" s="476"/>
      <c r="J3" s="476"/>
      <c r="K3" s="476"/>
      <c r="L3" s="476"/>
      <c r="M3" s="476"/>
      <c r="N3" s="476"/>
      <c r="O3" s="476"/>
      <c r="P3" s="476"/>
      <c r="Q3" s="1"/>
    </row>
    <row r="4" spans="1:19" ht="9" customHeight="1" thickBot="1">
      <c r="A4" s="1"/>
      <c r="B4" s="477"/>
      <c r="C4" s="478"/>
      <c r="D4" s="478"/>
      <c r="E4" s="478"/>
      <c r="F4" s="478"/>
      <c r="G4" s="478"/>
      <c r="H4" s="478"/>
      <c r="I4" s="478"/>
      <c r="J4" s="478"/>
      <c r="K4" s="478"/>
      <c r="L4" s="478"/>
      <c r="M4" s="478"/>
      <c r="N4" s="478"/>
      <c r="O4" s="478"/>
      <c r="P4" s="478"/>
      <c r="Q4" s="1"/>
    </row>
    <row r="5" spans="1:19" ht="13.5" hidden="1" customHeight="1" thickBot="1">
      <c r="A5" s="1"/>
      <c r="B5" s="1"/>
      <c r="C5" s="1"/>
      <c r="D5" s="1"/>
      <c r="E5" s="1"/>
      <c r="F5" s="1"/>
      <c r="G5" s="1"/>
      <c r="H5" s="1"/>
      <c r="I5" s="1"/>
      <c r="J5" s="1"/>
      <c r="K5" s="1"/>
      <c r="L5" s="1"/>
      <c r="M5" s="1"/>
      <c r="N5" s="1"/>
      <c r="O5" s="1"/>
      <c r="P5" s="3"/>
      <c r="Q5" s="1"/>
    </row>
    <row r="6" spans="1:19" ht="25.5" customHeight="1" thickBot="1">
      <c r="A6" s="1"/>
      <c r="B6" s="479" t="s">
        <v>138</v>
      </c>
      <c r="C6" s="479"/>
      <c r="D6" s="480"/>
      <c r="E6" s="481" t="s">
        <v>117</v>
      </c>
      <c r="F6" s="482"/>
      <c r="G6" s="483"/>
      <c r="H6" s="481" t="s">
        <v>152</v>
      </c>
      <c r="I6" s="482"/>
      <c r="J6" s="483"/>
      <c r="K6" s="484" t="s">
        <v>112</v>
      </c>
      <c r="L6" s="485"/>
      <c r="M6" s="485"/>
      <c r="N6" s="485"/>
      <c r="O6" s="485"/>
      <c r="P6" s="486"/>
      <c r="Q6" s="4"/>
    </row>
    <row r="7" spans="1:19" ht="38.1" customHeight="1" thickBot="1">
      <c r="A7" s="3"/>
      <c r="B7" s="467" t="s">
        <v>96</v>
      </c>
      <c r="C7" s="468"/>
      <c r="D7" s="5" t="s">
        <v>97</v>
      </c>
      <c r="E7" s="6" t="s">
        <v>142</v>
      </c>
      <c r="F7" s="7" t="s">
        <v>153</v>
      </c>
      <c r="G7" s="8" t="s">
        <v>154</v>
      </c>
      <c r="H7" s="6" t="s">
        <v>142</v>
      </c>
      <c r="I7" s="7" t="s">
        <v>153</v>
      </c>
      <c r="J7" s="8" t="s">
        <v>154</v>
      </c>
      <c r="K7" s="6" t="s">
        <v>144</v>
      </c>
      <c r="L7" s="7" t="s">
        <v>153</v>
      </c>
      <c r="M7" s="8" t="s">
        <v>154</v>
      </c>
      <c r="N7" s="6" t="s">
        <v>146</v>
      </c>
      <c r="O7" s="5" t="s">
        <v>153</v>
      </c>
      <c r="P7" s="8" t="s">
        <v>154</v>
      </c>
      <c r="Q7" s="4"/>
    </row>
    <row r="8" spans="1:19" ht="38.1" customHeight="1">
      <c r="A8" s="3"/>
      <c r="B8" s="469" t="s">
        <v>101</v>
      </c>
      <c r="C8" s="471" t="s">
        <v>100</v>
      </c>
      <c r="D8" s="9" t="s">
        <v>69</v>
      </c>
      <c r="E8" s="10">
        <f t="shared" ref="E8:E16" si="0">+H8+K8+N8</f>
        <v>236450010</v>
      </c>
      <c r="F8" s="11">
        <f t="shared" ref="F8:F16" si="1">+I8+L8+O8</f>
        <v>0</v>
      </c>
      <c r="G8" s="12">
        <f t="shared" ref="G8:G16" si="2">+J8+M8+P8</f>
        <v>236450010</v>
      </c>
      <c r="H8" s="13">
        <f>+'PRESUPUESTO MODIFICADO'!J8</f>
        <v>218950010</v>
      </c>
      <c r="I8" s="14">
        <f>SUMIF('USO INT. DESGLOSE FACTURAS'!$A$4:$A$10,'SALDOS '!$D8,'USO INT. DESGLOSE FACTURAS'!$S$4:$S$10)</f>
        <v>0</v>
      </c>
      <c r="J8" s="15">
        <f t="shared" ref="J8:J13" si="3">+H8-I8</f>
        <v>218950010</v>
      </c>
      <c r="K8" s="13">
        <f>+'PRESUPUESTO MODIFICADO'!M8</f>
        <v>17500000</v>
      </c>
      <c r="L8" s="14">
        <f>SUMIF('USO INT. DESGLOSE FACTURAS'!$A$4:$A$10,'SALDOS '!$D8,'USO INT. DESGLOSE FACTURAS'!$T$4:$T$10)</f>
        <v>0</v>
      </c>
      <c r="M8" s="17">
        <f t="shared" ref="M8:M16" si="4">+K8-L8</f>
        <v>17500000</v>
      </c>
      <c r="N8" s="18"/>
      <c r="O8" s="19"/>
      <c r="P8" s="20"/>
      <c r="Q8" s="4"/>
      <c r="S8" s="21"/>
    </row>
    <row r="9" spans="1:19" ht="38.1" customHeight="1">
      <c r="A9" s="3"/>
      <c r="B9" s="470"/>
      <c r="C9" s="472"/>
      <c r="D9" s="22" t="s">
        <v>33</v>
      </c>
      <c r="E9" s="23">
        <f t="shared" si="0"/>
        <v>0</v>
      </c>
      <c r="F9" s="24">
        <f t="shared" si="1"/>
        <v>0</v>
      </c>
      <c r="G9" s="25">
        <f t="shared" si="2"/>
        <v>0</v>
      </c>
      <c r="H9" s="26">
        <f>+'PRESUPUESTO MODIFICADO'!J9</f>
        <v>0</v>
      </c>
      <c r="I9" s="27">
        <f>SUMIF('USO INT. DESGLOSE FACTURAS'!$A$4:$A$10,'SALDOS '!$D9,'USO INT. DESGLOSE FACTURAS'!$S$4:$S$10)</f>
        <v>0</v>
      </c>
      <c r="J9" s="28">
        <f t="shared" si="3"/>
        <v>0</v>
      </c>
      <c r="K9" s="26">
        <f>+'PRESUPUESTO MODIFICADO'!M9</f>
        <v>0</v>
      </c>
      <c r="L9" s="27">
        <f>SUMIF('USO INT. DESGLOSE FACTURAS'!$A$4:$A$10,'SALDOS '!$D9,'USO INT. DESGLOSE FACTURAS'!$T$4:$T$10)</f>
        <v>0</v>
      </c>
      <c r="M9" s="30">
        <f t="shared" si="4"/>
        <v>0</v>
      </c>
      <c r="N9" s="31"/>
      <c r="O9" s="32"/>
      <c r="P9" s="33"/>
      <c r="Q9" s="4"/>
      <c r="S9" s="21"/>
    </row>
    <row r="10" spans="1:19" ht="38.1" customHeight="1">
      <c r="A10" s="3"/>
      <c r="B10" s="470" t="s">
        <v>102</v>
      </c>
      <c r="C10" s="472" t="s">
        <v>103</v>
      </c>
      <c r="D10" s="22" t="s">
        <v>57</v>
      </c>
      <c r="E10" s="34">
        <f t="shared" si="0"/>
        <v>60443738.649999999</v>
      </c>
      <c r="F10" s="35">
        <f t="shared" si="1"/>
        <v>0</v>
      </c>
      <c r="G10" s="36">
        <f t="shared" si="2"/>
        <v>60443738.649999999</v>
      </c>
      <c r="H10" s="26">
        <f>+'PRESUPUESTO MODIFICADO'!J10</f>
        <v>60443738.649999999</v>
      </c>
      <c r="I10" s="37">
        <f>SUMIF('USO INT. DESGLOSE FACTURAS'!$A$4:$A$10,'SALDOS '!$D10,'USO INT. DESGLOSE FACTURAS'!$S$4:$S$10)</f>
        <v>0</v>
      </c>
      <c r="J10" s="38">
        <f t="shared" si="3"/>
        <v>60443738.649999999</v>
      </c>
      <c r="K10" s="39">
        <f>+'PRESUPUESTO MODIFICADO'!M10</f>
        <v>0</v>
      </c>
      <c r="L10" s="37">
        <f>SUMIF('USO INT. DESGLOSE FACTURAS'!$A$4:$A$10,'SALDOS '!$D10,'USO INT. DESGLOSE FACTURAS'!$T$4:$T$10)</f>
        <v>0</v>
      </c>
      <c r="M10" s="41">
        <f t="shared" si="4"/>
        <v>0</v>
      </c>
      <c r="N10" s="31"/>
      <c r="O10" s="32"/>
      <c r="P10" s="33"/>
      <c r="Q10" s="4"/>
      <c r="S10" s="42"/>
    </row>
    <row r="11" spans="1:19" ht="38.1" customHeight="1">
      <c r="A11" s="3"/>
      <c r="B11" s="470"/>
      <c r="C11" s="472"/>
      <c r="D11" s="22" t="s">
        <v>73</v>
      </c>
      <c r="E11" s="34">
        <f t="shared" si="0"/>
        <v>1500000</v>
      </c>
      <c r="F11" s="35">
        <f t="shared" si="1"/>
        <v>0</v>
      </c>
      <c r="G11" s="36">
        <f t="shared" si="2"/>
        <v>1500000</v>
      </c>
      <c r="H11" s="26">
        <f>+'PRESUPUESTO MODIFICADO'!J11</f>
        <v>0</v>
      </c>
      <c r="I11" s="37">
        <f>SUMIF('USO INT. DESGLOSE FACTURAS'!$A$4:$A$10,'SALDOS '!$D11,'USO INT. DESGLOSE FACTURAS'!$S$4:$S$10)</f>
        <v>0</v>
      </c>
      <c r="J11" s="38">
        <f t="shared" si="3"/>
        <v>0</v>
      </c>
      <c r="K11" s="39">
        <f>+'PRESUPUESTO MODIFICADO'!M11</f>
        <v>0</v>
      </c>
      <c r="L11" s="37">
        <f>SUMIF('USO INT. DESGLOSE FACTURAS'!$A$4:$A$10,'SALDOS '!$D11,'USO INT. DESGLOSE FACTURAS'!$T$4:$T$10)</f>
        <v>0</v>
      </c>
      <c r="M11" s="41">
        <f t="shared" si="4"/>
        <v>0</v>
      </c>
      <c r="N11" s="43">
        <f>+'PRESUPUESTO MODIFICADO'!P11</f>
        <v>1500000</v>
      </c>
      <c r="O11" s="40"/>
      <c r="P11" s="41">
        <f t="shared" ref="P11:P16" si="5">+N11-O11</f>
        <v>1500000</v>
      </c>
      <c r="Q11" s="4"/>
    </row>
    <row r="12" spans="1:19" ht="38.1" customHeight="1">
      <c r="A12" s="3"/>
      <c r="B12" s="470"/>
      <c r="C12" s="472"/>
      <c r="D12" s="22" t="s">
        <v>58</v>
      </c>
      <c r="E12" s="34">
        <f t="shared" si="0"/>
        <v>5927991.9500000002</v>
      </c>
      <c r="F12" s="35">
        <f t="shared" si="1"/>
        <v>0</v>
      </c>
      <c r="G12" s="36">
        <f t="shared" si="2"/>
        <v>5927991.9500000002</v>
      </c>
      <c r="H12" s="26">
        <f>+'PRESUPUESTO MODIFICADO'!J12</f>
        <v>5927991.9500000002</v>
      </c>
      <c r="I12" s="37">
        <f>SUMIF('USO INT. DESGLOSE FACTURAS'!$A$4:$A$10,'SALDOS '!$D12,'USO INT. DESGLOSE FACTURAS'!$S$4:$S$10)</f>
        <v>0</v>
      </c>
      <c r="J12" s="38">
        <f t="shared" si="3"/>
        <v>5927991.9500000002</v>
      </c>
      <c r="K12" s="39">
        <f>+'PRESUPUESTO MODIFICADO'!M12</f>
        <v>0</v>
      </c>
      <c r="L12" s="37">
        <f>SUMIF('USO INT. DESGLOSE FACTURAS'!$A$4:$A$10,'SALDOS '!$D12,'USO INT. DESGLOSE FACTURAS'!$T$4:$T$10)</f>
        <v>0</v>
      </c>
      <c r="M12" s="41">
        <f t="shared" si="4"/>
        <v>0</v>
      </c>
      <c r="N12" s="43">
        <f>+'PRESUPUESTO MODIFICADO'!P12</f>
        <v>0</v>
      </c>
      <c r="O12" s="40"/>
      <c r="P12" s="41">
        <f t="shared" si="5"/>
        <v>0</v>
      </c>
      <c r="Q12" s="4"/>
      <c r="R12" s="464" t="str">
        <f>IF(H12="","No puede tener celdas vacías",IF(H13="","No puede tener celdas vacías",IF(K12="","No puede tener celdas vacías",IF(K13="","No puede tener celdas vacías",IF(P11="","No puede tener celdas vacías",IF(P12="","No puede tener celdas vacías",IF(P13="","No puede tener celdas vacías","")))))))</f>
        <v/>
      </c>
      <c r="S12" s="464"/>
    </row>
    <row r="13" spans="1:19" ht="38.1" customHeight="1">
      <c r="A13" s="3"/>
      <c r="B13" s="470"/>
      <c r="C13" s="472"/>
      <c r="D13" s="22" t="s">
        <v>59</v>
      </c>
      <c r="E13" s="44">
        <f t="shared" si="0"/>
        <v>20190873.84</v>
      </c>
      <c r="F13" s="45" t="str">
        <f>IF(SUM(I13+L13+O13)=0,"Este Sub-ítem debe tener Presupuesto",SUM(I13+L13+O13))</f>
        <v>Este Sub-ítem debe tener Presupuesto</v>
      </c>
      <c r="G13" s="45">
        <f>+J13+M13+P13</f>
        <v>20190873.84</v>
      </c>
      <c r="H13" s="26">
        <f>+'PRESUPUESTO MODIFICADO'!J13</f>
        <v>19064080.84</v>
      </c>
      <c r="I13" s="37">
        <f>SUMIF('USO INT. DESGLOSE FACTURAS'!$A$4:$A$10,'SALDOS '!$D13,'USO INT. DESGLOSE FACTURAS'!$S$4:$S$10)</f>
        <v>0</v>
      </c>
      <c r="J13" s="38">
        <f t="shared" si="3"/>
        <v>19064080.84</v>
      </c>
      <c r="K13" s="39">
        <f>+'PRESUPUESTO MODIFICADO'!M13</f>
        <v>0</v>
      </c>
      <c r="L13" s="37">
        <f>SUMIF('USO INT. DESGLOSE FACTURAS'!$A$4:$A$10,'SALDOS '!$D13,'USO INT. DESGLOSE FACTURAS'!$T$4:$T$10)</f>
        <v>0</v>
      </c>
      <c r="M13" s="41">
        <f t="shared" si="4"/>
        <v>0</v>
      </c>
      <c r="N13" s="43">
        <f>+'PRESUPUESTO MODIFICADO'!P13</f>
        <v>1126793</v>
      </c>
      <c r="O13" s="40"/>
      <c r="P13" s="41">
        <f t="shared" si="5"/>
        <v>1126793</v>
      </c>
      <c r="Q13" s="4"/>
      <c r="R13" s="464"/>
      <c r="S13" s="464"/>
    </row>
    <row r="14" spans="1:19" ht="38.1" customHeight="1">
      <c r="A14" s="3"/>
      <c r="B14" s="487" t="s">
        <v>105</v>
      </c>
      <c r="C14" s="472" t="s">
        <v>106</v>
      </c>
      <c r="D14" s="22" t="s">
        <v>60</v>
      </c>
      <c r="E14" s="46">
        <f t="shared" si="0"/>
        <v>12543652.899999999</v>
      </c>
      <c r="F14" s="47">
        <f t="shared" si="1"/>
        <v>0</v>
      </c>
      <c r="G14" s="48">
        <f t="shared" si="2"/>
        <v>12543652.899999999</v>
      </c>
      <c r="H14" s="49"/>
      <c r="I14" s="50"/>
      <c r="J14" s="51"/>
      <c r="K14" s="39">
        <f>+'PRESUPUESTO MODIFICADO'!M14</f>
        <v>6606772.8999999994</v>
      </c>
      <c r="L14" s="40">
        <f>SUMIF('USO INT. DESGLOSE FACTURAS'!$A$4:$A$10,'SALDOS '!$D14,'USO INT. DESGLOSE FACTURAS'!$T$4:$T$10)</f>
        <v>0</v>
      </c>
      <c r="M14" s="41">
        <f t="shared" si="4"/>
        <v>6606772.8999999994</v>
      </c>
      <c r="N14" s="43">
        <f>+'PRESUPUESTO MODIFICADO'!P14</f>
        <v>5936880</v>
      </c>
      <c r="O14" s="40"/>
      <c r="P14" s="41">
        <f t="shared" si="5"/>
        <v>5936880</v>
      </c>
      <c r="Q14" s="4"/>
      <c r="R14" s="464" t="str">
        <f>IF(K14="","No puede tener celdas vacías",IF(K16="","No puede tener celdas vacías",IF(P14="","No puede tener celdas vacías",IF(P16="","No puede tener celdas vacías",""))))</f>
        <v/>
      </c>
      <c r="S14" s="464"/>
    </row>
    <row r="15" spans="1:19" ht="38.1" customHeight="1">
      <c r="A15" s="3"/>
      <c r="B15" s="488"/>
      <c r="C15" s="490"/>
      <c r="D15" s="22" t="s">
        <v>76</v>
      </c>
      <c r="E15" s="52">
        <f t="shared" ref="E15" si="6">+H15+K15+N15</f>
        <v>85610320</v>
      </c>
      <c r="F15" s="53">
        <f t="shared" ref="F15" si="7">+I15+L15+O15</f>
        <v>0</v>
      </c>
      <c r="G15" s="54">
        <f t="shared" ref="G15" si="8">+J15+M15+P15</f>
        <v>85610320</v>
      </c>
      <c r="H15" s="55"/>
      <c r="I15" s="56"/>
      <c r="J15" s="57"/>
      <c r="K15" s="39">
        <f>+'PRESUPUESTO MODIFICADO'!M15</f>
        <v>0</v>
      </c>
      <c r="L15" s="40">
        <f>SUMIF('USO INT. DESGLOSE FACTURAS'!$A$4:$A$10,'SALDOS '!$D15,'USO INT. DESGLOSE FACTURAS'!$T$4:$T$10)</f>
        <v>0</v>
      </c>
      <c r="M15" s="41">
        <f t="shared" ref="M15" si="9">+K15-L15</f>
        <v>0</v>
      </c>
      <c r="N15" s="43">
        <f>+'PRESUPUESTO MODIFICADO'!P15</f>
        <v>85610320</v>
      </c>
      <c r="O15" s="40"/>
      <c r="P15" s="41">
        <f t="shared" si="5"/>
        <v>85610320</v>
      </c>
      <c r="Q15" s="4"/>
      <c r="R15" s="464"/>
      <c r="S15" s="464"/>
    </row>
    <row r="16" spans="1:19" ht="38.1" customHeight="1" thickBot="1">
      <c r="A16" s="3"/>
      <c r="B16" s="489"/>
      <c r="C16" s="491"/>
      <c r="D16" s="58" t="s">
        <v>107</v>
      </c>
      <c r="E16" s="52">
        <f t="shared" si="0"/>
        <v>4278360</v>
      </c>
      <c r="F16" s="53">
        <f t="shared" si="1"/>
        <v>0</v>
      </c>
      <c r="G16" s="54">
        <f t="shared" si="2"/>
        <v>4278360</v>
      </c>
      <c r="H16" s="59"/>
      <c r="I16" s="60"/>
      <c r="J16" s="61"/>
      <c r="K16" s="62">
        <f>+'PRESUPUESTO MODIFICADO'!M16</f>
        <v>0</v>
      </c>
      <c r="L16" s="63">
        <f>SUMIF('USO INT. DESGLOSE FACTURAS'!$A$4:$A$10,'SALDOS '!$D16,'USO INT. DESGLOSE FACTURAS'!$T$4:$T$10)</f>
        <v>0</v>
      </c>
      <c r="M16" s="64">
        <f t="shared" si="4"/>
        <v>0</v>
      </c>
      <c r="N16" s="65">
        <f>+'PRESUPUESTO MODIFICADO'!P16</f>
        <v>4278360</v>
      </c>
      <c r="O16" s="63"/>
      <c r="P16" s="64">
        <f t="shared" si="5"/>
        <v>4278360</v>
      </c>
      <c r="Q16" s="4"/>
      <c r="R16" s="464"/>
      <c r="S16" s="464"/>
    </row>
    <row r="17" spans="1:17" ht="38.1" customHeight="1" thickBot="1">
      <c r="A17" s="1"/>
      <c r="B17" s="465"/>
      <c r="C17" s="466"/>
      <c r="D17" s="66" t="s">
        <v>79</v>
      </c>
      <c r="E17" s="67">
        <f t="shared" ref="E17:P17" si="10">SUM(E8:E16)</f>
        <v>426944947.33999991</v>
      </c>
      <c r="F17" s="68">
        <f t="shared" si="10"/>
        <v>0</v>
      </c>
      <c r="G17" s="69">
        <f t="shared" si="10"/>
        <v>426944947.33999991</v>
      </c>
      <c r="H17" s="67">
        <f t="shared" si="10"/>
        <v>304385821.43999994</v>
      </c>
      <c r="I17" s="68">
        <f t="shared" si="10"/>
        <v>0</v>
      </c>
      <c r="J17" s="69">
        <f t="shared" si="10"/>
        <v>304385821.43999994</v>
      </c>
      <c r="K17" s="67">
        <f t="shared" si="10"/>
        <v>24106772.899999999</v>
      </c>
      <c r="L17" s="70">
        <f t="shared" si="10"/>
        <v>0</v>
      </c>
      <c r="M17" s="69">
        <f t="shared" si="10"/>
        <v>24106772.899999999</v>
      </c>
      <c r="N17" s="71">
        <f t="shared" si="10"/>
        <v>98452353</v>
      </c>
      <c r="O17" s="70">
        <f t="shared" si="10"/>
        <v>0</v>
      </c>
      <c r="P17" s="69">
        <f t="shared" si="10"/>
        <v>98452353</v>
      </c>
      <c r="Q17" s="4"/>
    </row>
    <row r="18" spans="1:17">
      <c r="A18" s="1"/>
      <c r="B18" s="1"/>
      <c r="C18" s="1"/>
      <c r="D18" s="72"/>
      <c r="E18" s="1"/>
      <c r="F18" s="1"/>
      <c r="G18" s="1"/>
      <c r="H18" s="73"/>
      <c r="I18" s="73"/>
      <c r="J18" s="73"/>
      <c r="K18" s="73"/>
      <c r="L18" s="73"/>
      <c r="M18" s="73"/>
      <c r="N18" s="73"/>
      <c r="O18" s="73"/>
      <c r="P18" s="1"/>
      <c r="Q18" s="1"/>
    </row>
    <row r="19" spans="1:17" ht="21" customHeight="1">
      <c r="I19" s="74" t="s">
        <v>155</v>
      </c>
    </row>
    <row r="20" spans="1:17" ht="20.45" customHeight="1">
      <c r="G20" s="75" t="s">
        <v>80</v>
      </c>
      <c r="H20" s="76"/>
      <c r="I20" s="77">
        <f>SUM($I$8:$I$9)</f>
        <v>0</v>
      </c>
    </row>
    <row r="21" spans="1:17" ht="20.45" customHeight="1">
      <c r="G21" s="75" t="s">
        <v>85</v>
      </c>
      <c r="H21" s="76"/>
      <c r="I21" s="77">
        <f>SUM($I$10:$I$13)</f>
        <v>0</v>
      </c>
    </row>
    <row r="22" spans="1:17" ht="20.45" customHeight="1">
      <c r="G22" s="76" t="s">
        <v>86</v>
      </c>
      <c r="H22" s="76"/>
      <c r="I22" s="78">
        <f>+IF(I20&gt;0,I21/I20,0)</f>
        <v>0</v>
      </c>
    </row>
    <row r="25" spans="1:17" ht="21" customHeight="1">
      <c r="G25" s="75" t="s">
        <v>80</v>
      </c>
      <c r="H25" s="76"/>
      <c r="I25" s="77">
        <f>SUM($F$8:$F$9)</f>
        <v>0</v>
      </c>
      <c r="K25" s="79"/>
    </row>
    <row r="26" spans="1:17" ht="21" customHeight="1">
      <c r="G26" s="473" t="s">
        <v>156</v>
      </c>
      <c r="H26" s="474"/>
      <c r="I26" s="77">
        <f>SUM($L$8:$L$10)+SUM($L$12:$L$14)</f>
        <v>0</v>
      </c>
      <c r="J26" s="78">
        <f>+IF($I$25&gt;0,I26/$I$25,0)</f>
        <v>0</v>
      </c>
      <c r="K26" s="79" t="str">
        <f>IF(J26&lt;10%,"El Mínimo debe ser 10%","OK")</f>
        <v>El Mínimo debe ser 10%</v>
      </c>
    </row>
    <row r="27" spans="1:17" ht="21" customHeight="1">
      <c r="G27" s="75" t="s">
        <v>148</v>
      </c>
      <c r="H27" s="76"/>
      <c r="I27" s="77">
        <f>+$L$17</f>
        <v>0</v>
      </c>
      <c r="J27" s="78">
        <f>+IF($I$25&gt;0,I27/$I$25,0)</f>
        <v>0</v>
      </c>
      <c r="K27" s="79"/>
    </row>
    <row r="28" spans="1:17" ht="21" customHeight="1">
      <c r="G28" s="75" t="s">
        <v>149</v>
      </c>
      <c r="H28" s="76"/>
      <c r="I28" s="77">
        <f>+$O$17</f>
        <v>0</v>
      </c>
      <c r="J28" s="78">
        <f>+IF($I$25&gt;0,I28/$I$25,0)</f>
        <v>0</v>
      </c>
      <c r="K28" s="79"/>
    </row>
    <row r="29" spans="1:17" ht="21" customHeight="1">
      <c r="G29" s="80" t="s">
        <v>150</v>
      </c>
      <c r="H29" s="81"/>
      <c r="I29" s="77">
        <f>SUM(I27:I28)</f>
        <v>0</v>
      </c>
      <c r="J29" s="78">
        <f>+IF($I$25&gt;0,I29/$I$25,0)</f>
        <v>0</v>
      </c>
      <c r="K29" s="79" t="str">
        <f>IF(J29&lt;50%,"El Mínimo debe ser 50%","OK")</f>
        <v>El Mínimo debe ser 50%</v>
      </c>
    </row>
  </sheetData>
  <sheetProtection algorithmName="SHA-512" hashValue="8vyxUtDN/dMat3UcttdQ5/eDwmLhxjpz5ZDovae/o/CSAC+UxQCHLuXBSXi+9PnHMscmI1XmeLv+55OAw7TKzA==" saltValue="hZVd5iUeQh/DwmnNDogP4Q==" spinCount="100000" sheet="1" selectLockedCells="1"/>
  <mergeCells count="18">
    <mergeCell ref="G26:H26"/>
    <mergeCell ref="B7:C7"/>
    <mergeCell ref="H6:J6"/>
    <mergeCell ref="E6:G6"/>
    <mergeCell ref="B8:B9"/>
    <mergeCell ref="C8:C9"/>
    <mergeCell ref="B2:P2"/>
    <mergeCell ref="B3:P3"/>
    <mergeCell ref="B4:P4"/>
    <mergeCell ref="B6:D6"/>
    <mergeCell ref="K6:P6"/>
    <mergeCell ref="R12:S13"/>
    <mergeCell ref="B14:B16"/>
    <mergeCell ref="C14:C16"/>
    <mergeCell ref="R14:S16"/>
    <mergeCell ref="B17:C17"/>
    <mergeCell ref="B10:B13"/>
    <mergeCell ref="C10:C13"/>
  </mergeCells>
  <conditionalFormatting sqref="E13">
    <cfRule type="containsText" dxfId="24" priority="26" operator="containsText" text="Este Item debe">
      <formula>NOT(ISERROR(SEARCH("Este Item debe",E13)))</formula>
    </cfRule>
    <cfRule type="containsText" dxfId="23" priority="25" operator="containsText" text="Este Sub Item">
      <formula>NOT(ISERROR(SEARCH("Este Sub Item",E13)))</formula>
    </cfRule>
  </conditionalFormatting>
  <conditionalFormatting sqref="E8:G9">
    <cfRule type="containsText" dxfId="22" priority="6" operator="containsText" text="Monto Excede">
      <formula>NOT(ISERROR(SEARCH("Monto Excede",E8)))</formula>
    </cfRule>
    <cfRule type="containsText" dxfId="21" priority="7" operator="containsText" text="M$50.000">
      <formula>NOT(ISERROR(SEARCH("M$50.000",E8)))</formula>
    </cfRule>
  </conditionalFormatting>
  <conditionalFormatting sqref="F13">
    <cfRule type="containsText" dxfId="20" priority="3" operator="containsText" text="Este Sub-ítem">
      <formula>NOT(ISERROR(SEARCH("Este Sub-ítem",F13)))</formula>
    </cfRule>
  </conditionalFormatting>
  <conditionalFormatting sqref="G13">
    <cfRule type="containsText" dxfId="19" priority="8" operator="containsText" text="Este Sub Item">
      <formula>NOT(ISERROR(SEARCH("Este Sub Item",G13)))</formula>
    </cfRule>
    <cfRule type="containsText" dxfId="18" priority="9" operator="containsText" text="Este Item debe">
      <formula>NOT(ISERROR(SEARCH("Este Item debe",G13)))</formula>
    </cfRule>
  </conditionalFormatting>
  <conditionalFormatting sqref="H17:J17">
    <cfRule type="cellIs" dxfId="17" priority="30" operator="greaterThan">
      <formula>400000000</formula>
    </cfRule>
  </conditionalFormatting>
  <conditionalFormatting sqref="I22">
    <cfRule type="cellIs" dxfId="16" priority="34" stopIfTrue="1" operator="greaterThan">
      <formula>0.5</formula>
    </cfRule>
  </conditionalFormatting>
  <conditionalFormatting sqref="J26">
    <cfRule type="cellIs" dxfId="15" priority="5" stopIfTrue="1" operator="lessThan">
      <formula>0.1</formula>
    </cfRule>
  </conditionalFormatting>
  <conditionalFormatting sqref="J29">
    <cfRule type="cellIs" dxfId="14" priority="4" stopIfTrue="1" operator="lessThan">
      <formula>0.5</formula>
    </cfRule>
  </conditionalFormatting>
  <conditionalFormatting sqref="K26">
    <cfRule type="containsText" dxfId="13" priority="2" stopIfTrue="1" operator="containsText" text="El Mínimo debe ser 10%">
      <formula>NOT(ISERROR(SEARCH("El Mínimo debe ser 10%",K26)))</formula>
    </cfRule>
  </conditionalFormatting>
  <conditionalFormatting sqref="K29">
    <cfRule type="containsText" dxfId="12" priority="31" stopIfTrue="1" operator="containsText" text="El Mínimo debe ser 50%">
      <formula>NOT(ISERROR(SEARCH("El Mínimo debe ser 50%",K29)))</formula>
    </cfRule>
  </conditionalFormatting>
  <conditionalFormatting sqref="K17:O17">
    <cfRule type="containsText" dxfId="11" priority="12" operator="containsText" text="Debe ser">
      <formula>NOT(ISERROR(SEARCH("Debe ser",K17)))</formula>
    </cfRule>
  </conditionalFormatting>
  <conditionalFormatting sqref="P17">
    <cfRule type="containsText" dxfId="10" priority="29" operator="containsText" text="50%">
      <formula>NOT(ISERROR(SEARCH("50%",P17)))</formula>
    </cfRule>
  </conditionalFormatting>
  <conditionalFormatting sqref="R12">
    <cfRule type="containsText" dxfId="9" priority="15" stopIfTrue="1" operator="containsText" text="Monto Item Equipamiento OK">
      <formula>NOT(ISERROR(SEARCH("Monto Item Equipamiento OK",R12)))</formula>
    </cfRule>
    <cfRule type="containsText" dxfId="8" priority="17" operator="containsText" text="Excede">
      <formula>NOT(ISERROR(SEARCH("Excede",R12)))</formula>
    </cfRule>
    <cfRule type="containsText" dxfId="7" priority="18" operator="containsText" text="M$50.000">
      <formula>NOT(ISERROR(SEARCH("M$50.000",R12)))</formula>
    </cfRule>
    <cfRule type="containsText" dxfId="6" priority="16" operator="containsText" text="$50.000.000">
      <formula>NOT(ISERROR(SEARCH("$50.000.000",R12)))</formula>
    </cfRule>
  </conditionalFormatting>
  <conditionalFormatting sqref="R14:R15">
    <cfRule type="containsText" dxfId="5" priority="19" operator="containsText" text="$50.000.000">
      <formula>NOT(ISERROR(SEARCH("$50.000.000",R14)))</formula>
    </cfRule>
    <cfRule type="containsText" dxfId="4" priority="20" operator="containsText" text="Excede">
      <formula>NOT(ISERROR(SEARCH("Excede",R14)))</formula>
    </cfRule>
    <cfRule type="containsText" dxfId="3" priority="21" operator="containsText" text="M$50.000">
      <formula>NOT(ISERROR(SEARCH("M$50.000",R14)))</formula>
    </cfRule>
    <cfRule type="containsText" dxfId="2" priority="22" stopIfTrue="1" operator="containsText" text="Monto Item Equipamiento OK">
      <formula>NOT(ISERROR(SEARCH("Monto Item Equipamiento OK",R14)))</formula>
    </cfRule>
  </conditionalFormatting>
  <conditionalFormatting sqref="R12:S13">
    <cfRule type="containsText" dxfId="1" priority="14" stopIfTrue="1" operator="containsText" text="No puede tener">
      <formula>NOT(ISERROR(SEARCH("No puede tener",R12)))</formula>
    </cfRule>
  </conditionalFormatting>
  <conditionalFormatting sqref="R14:S16">
    <cfRule type="containsText" dxfId="0" priority="13" stopIfTrue="1" operator="containsText" text="No puede tener">
      <formula>NOT(ISERROR(SEARCH("No puede tener",R14)))</formula>
    </cfRule>
  </conditionalFormatting>
  <printOptions horizontalCentered="1"/>
  <pageMargins left="0" right="0" top="0.78740157480314965" bottom="0.78740157480314965" header="0" footer="0.59055118110236227"/>
  <pageSetup paperSize="5" scale="70" orientation="landscape" r:id="rId1"/>
  <headerFooter alignWithMargins="0">
    <oddFooter>&amp;L&amp;A - &amp;F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f9ee4f-d874-4566-a6bd-f47c69edf255">
      <Terms xmlns="http://schemas.microsoft.com/office/infopath/2007/PartnerControls"/>
    </lcf76f155ced4ddcb4097134ff3c332f>
    <TaxCatchAll xmlns="fefe5a87-0f61-49d2-ad0e-d99b6b899f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3E636E5ADFFDD4593589394D25615CE" ma:contentTypeVersion="18" ma:contentTypeDescription="Crear nuevo documento." ma:contentTypeScope="" ma:versionID="a6deb3d86834c1f18dba81e29cab2fe0">
  <xsd:schema xmlns:xsd="http://www.w3.org/2001/XMLSchema" xmlns:xs="http://www.w3.org/2001/XMLSchema" xmlns:p="http://schemas.microsoft.com/office/2006/metadata/properties" xmlns:ns2="adf9ee4f-d874-4566-a6bd-f47c69edf255" xmlns:ns3="fefe5a87-0f61-49d2-ad0e-d99b6b899f8d" targetNamespace="http://schemas.microsoft.com/office/2006/metadata/properties" ma:root="true" ma:fieldsID="d8dbfd13dc700bf37344edb588a7d1bf" ns2:_="" ns3:_="">
    <xsd:import namespace="adf9ee4f-d874-4566-a6bd-f47c69edf255"/>
    <xsd:import namespace="fefe5a87-0f61-49d2-ad0e-d99b6b899f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9ee4f-d874-4566-a6bd-f47c69edf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71996052-62f5-4f90-af1f-7dc781ad549c"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e5a87-0f61-49d2-ad0e-d99b6b899f8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927be0a-1e31-4c83-8a07-4163c17f1eac}" ma:internalName="TaxCatchAll" ma:showField="CatchAllData" ma:web="fefe5a87-0f61-49d2-ad0e-d99b6b899f8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62E97F-9D95-484B-A8A4-6EB99526D7DB}"/>
</file>

<file path=customXml/itemProps2.xml><?xml version="1.0" encoding="utf-8"?>
<ds:datastoreItem xmlns:ds="http://schemas.openxmlformats.org/officeDocument/2006/customXml" ds:itemID="{6BCEDC77-B0A3-4527-88A1-3EF5A7915CD1}"/>
</file>

<file path=customXml/itemProps3.xml><?xml version="1.0" encoding="utf-8"?>
<ds:datastoreItem xmlns:ds="http://schemas.openxmlformats.org/officeDocument/2006/customXml" ds:itemID="{B1154F78-50A1-4C23-9A20-8F1257EE43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Álvaro González Miranda</dc:creator>
  <cp:keywords/>
  <dc:description/>
  <cp:lastModifiedBy>Manuel Valenzuela Concha</cp:lastModifiedBy>
  <cp:revision/>
  <dcterms:created xsi:type="dcterms:W3CDTF">2013-06-10T15:33:12Z</dcterms:created>
  <dcterms:modified xsi:type="dcterms:W3CDTF">2026-01-14T14:51:21Z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0x01010023E636E5ADFFDD4593589394D25615CE</vt:lpwstr>
  </property>
  <property fmtid="{D5CDD505-2E9C-101B-9397-08002B2CF9AE}" pid="3" name="MediaServiceImageTags">
    <vt:lpwstr/>
  </property>
</Properties>
</file>